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Projects\Analytical\GSEC\Transmission\GS_OATT\Form 1 - 2015\"/>
    </mc:Choice>
  </mc:AlternateContent>
  <bookViews>
    <workbookView xWindow="-15" yWindow="3795" windowWidth="15405" windowHeight="3510"/>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externalReferences>
    <externalReference r:id="rId14"/>
  </externalReferences>
  <definedNames>
    <definedName name="COMPANY">'[1]INPUTS - Accounts'!$B$1</definedName>
    <definedName name="COOP">#N/A</definedName>
    <definedName name="D_DISTOPX" localSheetId="6">'[1]Sched F4 Factors'!#REF!</definedName>
    <definedName name="D_DISTOPX" localSheetId="12">'[1]Sched F4 Factors'!#REF!</definedName>
    <definedName name="D_DISTOPX" localSheetId="2">'[1]Sched F4 Factors'!#REF!</definedName>
    <definedName name="D_DISTOPX" localSheetId="4">'[1]Sched F4 Factors'!#REF!</definedName>
    <definedName name="D_DISTOPX" localSheetId="5">'[1]Sched F4 Factors'!#REF!</definedName>
    <definedName name="D_DISTOPX" localSheetId="3">'[1]Sched F4 Factors'!#REF!</definedName>
    <definedName name="D_DISTOPX">'[1]Sched F4 Factors'!#REF!</definedName>
    <definedName name="D_GNLPLTN">'[1]Sched F3 NTP_Factor'!$G$35</definedName>
    <definedName name="D_MILE" localSheetId="6">'[1]Sched F4 Factors'!#REF!</definedName>
    <definedName name="D_MILE" localSheetId="12">'[1]Sched F4 Factors'!#REF!</definedName>
    <definedName name="D_MILE" localSheetId="2">'[1]Sched F4 Factors'!#REF!</definedName>
    <definedName name="D_MILE" localSheetId="4">'[1]Sched F4 Factors'!#REF!</definedName>
    <definedName name="D_MILE" localSheetId="5">'[1]Sched F4 Factors'!#REF!</definedName>
    <definedName name="D_MILE" localSheetId="3">'[1]Sched F4 Factors'!#REF!</definedName>
    <definedName name="D_MILE">'[1]Sched F4 Factors'!#REF!</definedName>
    <definedName name="D_PAYXAG">'[1]Sched F1 Payroll Factors'!$G$16</definedName>
    <definedName name="D_PLTSVCN">'[1]Sched F3 NTP_Factor'!$G$48</definedName>
    <definedName name="D_PLTXGNLN">'[1]Sched F3 NTP_Factor'!$G$29</definedName>
    <definedName name="D_SQFT" localSheetId="6">'[1]Sched F4 Factors'!#REF!</definedName>
    <definedName name="D_SQFT" localSheetId="12">'[1]Sched F4 Factors'!#REF!</definedName>
    <definedName name="D_SQFT" localSheetId="2">'[1]Sched F4 Factors'!#REF!</definedName>
    <definedName name="D_SQFT" localSheetId="4">'[1]Sched F4 Factors'!#REF!</definedName>
    <definedName name="D_SQFT" localSheetId="5">'[1]Sched F4 Factors'!#REF!</definedName>
    <definedName name="D_SQFT" localSheetId="3">'[1]Sched F4 Factors'!#REF!</definedName>
    <definedName name="D_SQFT">'[1]Sched F4 Factors'!#REF!</definedName>
    <definedName name="NAMES">#N/A</definedName>
    <definedName name="P_DISTOPX" localSheetId="6">'[1]Sched F4 Factors'!#REF!</definedName>
    <definedName name="P_DISTOPX" localSheetId="12">'[1]Sched F4 Factors'!#REF!</definedName>
    <definedName name="P_DISTOPX" localSheetId="2">'[1]Sched F4 Factors'!#REF!</definedName>
    <definedName name="P_DISTOPX" localSheetId="4">'[1]Sched F4 Factors'!#REF!</definedName>
    <definedName name="P_DISTOPX" localSheetId="5">'[1]Sched F4 Factors'!#REF!</definedName>
    <definedName name="P_DISTOPX" localSheetId="3">'[1]Sched F4 Factors'!#REF!</definedName>
    <definedName name="P_DISTOPX">'[1]Sched F4 Factors'!#REF!</definedName>
    <definedName name="P_GNLPLTN">'[1]Sched F3 NTP_Factor'!$D$35</definedName>
    <definedName name="P_MILE" localSheetId="6">'[1]Sched F4 Factors'!#REF!</definedName>
    <definedName name="P_MILE" localSheetId="12">'[1]Sched F4 Factors'!#REF!</definedName>
    <definedName name="P_MILE" localSheetId="2">'[1]Sched F4 Factors'!#REF!</definedName>
    <definedName name="P_MILE" localSheetId="4">'[1]Sched F4 Factors'!#REF!</definedName>
    <definedName name="P_MILE" localSheetId="5">'[1]Sched F4 Factors'!#REF!</definedName>
    <definedName name="P_MILE" localSheetId="3">'[1]Sched F4 Factors'!#REF!</definedName>
    <definedName name="P_MILE">'[1]Sched F4 Factors'!#REF!</definedName>
    <definedName name="P_PAYXAG">'[1]Sched F1 Payroll Factors'!$D$16</definedName>
    <definedName name="P_PLTSVCN">'[1]Sched F3 NTP_Factor'!$D$48</definedName>
    <definedName name="P_PLTXGNLN">'[1]Sched F3 NTP_Factor'!$D$29</definedName>
    <definedName name="P_SQFT" localSheetId="6">'[1]Sched F4 Factors'!#REF!</definedName>
    <definedName name="P_SQFT" localSheetId="12">'[1]Sched F4 Factors'!#REF!</definedName>
    <definedName name="P_SQFT" localSheetId="2">'[1]Sched F4 Factors'!#REF!</definedName>
    <definedName name="P_SQFT" localSheetId="4">'[1]Sched F4 Factors'!#REF!</definedName>
    <definedName name="P_SQFT" localSheetId="5">'[1]Sched F4 Factors'!#REF!</definedName>
    <definedName name="P_SQFT" localSheetId="3">'[1]Sched F4 Factors'!#REF!</definedName>
    <definedName name="P_SQFT">'[1]Sched F4 Factors'!#REF!</definedName>
    <definedName name="_xlnm.Print_Area" localSheetId="6">AF!$A$5:$J$68</definedName>
    <definedName name="_xlnm.Print_Area" localSheetId="12">Depreciation!$A$1:$C$16</definedName>
    <definedName name="_xlnm.Print_Area" localSheetId="4">Form1Exp!$A$9:$K$83</definedName>
    <definedName name="_xlnm.Print_Area" localSheetId="1">Summary!$A$1:$K$34</definedName>
    <definedName name="_xlnm.Print_Area" localSheetId="5">TransExp!$A$9:$K$95</definedName>
    <definedName name="_xlnm.Print_Area" localSheetId="3">'TransPlnt '!$A$10:$L$94</definedName>
    <definedName name="_xlnm.Print_Area" localSheetId="7">Usage!$A$8:$R$64</definedName>
    <definedName name="_xlnm.Print_Titles" localSheetId="6">AF!$1:$4</definedName>
    <definedName name="_xlnm.Print_Titles" localSheetId="4">Form1Exp!$1:$8</definedName>
    <definedName name="_xlnm.Print_Titles" localSheetId="5">TransExp!$1:$8</definedName>
    <definedName name="_xlnm.Print_Titles" localSheetId="3">'TransPlnt '!$1:$9</definedName>
    <definedName name="_xlnm.Print_Titles" localSheetId="7">Usage!$1:$7</definedName>
    <definedName name="T_DISTOPX" localSheetId="6">'[1]Sched F4 Factors'!#REF!</definedName>
    <definedName name="T_DISTOPX" localSheetId="12">'[1]Sched F4 Factors'!#REF!</definedName>
    <definedName name="T_DISTOPX" localSheetId="2">'[1]Sched F4 Factors'!#REF!</definedName>
    <definedName name="T_DISTOPX" localSheetId="4">'[1]Sched F4 Factors'!#REF!</definedName>
    <definedName name="T_DISTOPX" localSheetId="5">'[1]Sched F4 Factors'!#REF!</definedName>
    <definedName name="T_DISTOPX" localSheetId="3">'[1]Sched F4 Factors'!#REF!</definedName>
    <definedName name="T_DISTOPX">'[1]Sched F4 Factors'!#REF!</definedName>
    <definedName name="T_GNLPLTN">'[1]Sched F3 NTP_Factor'!$E$35</definedName>
    <definedName name="T_MILE" localSheetId="6">'[1]Sched F4 Factors'!#REF!</definedName>
    <definedName name="T_MILE" localSheetId="12">'[1]Sched F4 Factors'!#REF!</definedName>
    <definedName name="T_MILE" localSheetId="2">'[1]Sched F4 Factors'!#REF!</definedName>
    <definedName name="T_MILE" localSheetId="4">'[1]Sched F4 Factors'!#REF!</definedName>
    <definedName name="T_MILE" localSheetId="5">'[1]Sched F4 Factors'!#REF!</definedName>
    <definedName name="T_MILE" localSheetId="3">'[1]Sched F4 Factors'!#REF!</definedName>
    <definedName name="T_MILE">'[1]Sched F4 Factors'!#REF!</definedName>
    <definedName name="T_PAYXAG">'[1]Sched F1 Payroll Factors'!$E$16</definedName>
    <definedName name="T_PLTSVCN">'[1]Sched F3 NTP_Factor'!$E$48</definedName>
    <definedName name="T_PLTXGNLN">'[1]Sched F3 NTP_Factor'!$E$29</definedName>
    <definedName name="T_SQFT" localSheetId="6">'[1]Sched F4 Factors'!#REF!</definedName>
    <definedName name="T_SQFT" localSheetId="12">'[1]Sched F4 Factors'!#REF!</definedName>
    <definedName name="T_SQFT" localSheetId="2">'[1]Sched F4 Factors'!#REF!</definedName>
    <definedName name="T_SQFT" localSheetId="4">'[1]Sched F4 Factors'!#REF!</definedName>
    <definedName name="T_SQFT" localSheetId="5">'[1]Sched F4 Factors'!#REF!</definedName>
    <definedName name="T_SQFT" localSheetId="3">'[1]Sched F4 Factors'!#REF!</definedName>
    <definedName name="T_SQFT">'[1]Sched F4 Factors'!#REF!</definedName>
    <definedName name="Test_Year">'[1]INPUTS - Other'!$C$4</definedName>
    <definedName name="TESTYEAR">#N/A</definedName>
    <definedName name="TEXAS_ALLOC">'[1]INPUTS - Other'!$C$37</definedName>
    <definedName name="TO_DISTOPX" localSheetId="6">'[1]Sched F4 Factors'!#REF!</definedName>
    <definedName name="TO_DISTOPX" localSheetId="12">'[1]Sched F4 Factors'!#REF!</definedName>
    <definedName name="TO_DISTOPX" localSheetId="2">'[1]Sched F4 Factors'!#REF!</definedName>
    <definedName name="TO_DISTOPX" localSheetId="4">'[1]Sched F4 Factors'!#REF!</definedName>
    <definedName name="TO_DISTOPX" localSheetId="5">'[1]Sched F4 Factors'!#REF!</definedName>
    <definedName name="TO_DISTOPX" localSheetId="3">'[1]Sched F4 Factors'!#REF!</definedName>
    <definedName name="TO_DISTOPX">'[1]Sched F4 Factors'!#REF!</definedName>
    <definedName name="TO_GNLPLTN">'[1]Sched F3 NTP_Factor'!$F$35</definedName>
    <definedName name="TO_MILE" localSheetId="6">'[1]Sched F4 Factors'!#REF!</definedName>
    <definedName name="TO_MILE" localSheetId="12">'[1]Sched F4 Factors'!#REF!</definedName>
    <definedName name="TO_MILE" localSheetId="2">'[1]Sched F4 Factors'!#REF!</definedName>
    <definedName name="TO_MILE" localSheetId="4">'[1]Sched F4 Factors'!#REF!</definedName>
    <definedName name="TO_MILE" localSheetId="5">'[1]Sched F4 Factors'!#REF!</definedName>
    <definedName name="TO_MILE" localSheetId="3">'[1]Sched F4 Factors'!#REF!</definedName>
    <definedName name="TO_MILE">'[1]Sched F4 Factors'!#REF!</definedName>
    <definedName name="TO_PAYXAG">'[1]Sched F1 Payroll Factors'!$F$16</definedName>
    <definedName name="TO_PLTSVCN">'[1]Sched F3 NTP_Factor'!$F$48</definedName>
    <definedName name="TO_SQFT" localSheetId="6">'[1]Sched F4 Factors'!#REF!</definedName>
    <definedName name="TO_SQFT" localSheetId="12">'[1]Sched F4 Factors'!#REF!</definedName>
    <definedName name="TO_SQFT" localSheetId="2">'[1]Sched F4 Factors'!#REF!</definedName>
    <definedName name="TO_SQFT" localSheetId="4">'[1]Sched F4 Factors'!#REF!</definedName>
    <definedName name="TO_SQFT" localSheetId="5">'[1]Sched F4 Factors'!#REF!</definedName>
    <definedName name="TO_SQFT" localSheetId="3">'[1]Sched F4 Factors'!#REF!</definedName>
    <definedName name="TO_SQFT">'[1]Sched F4 Factors'!#REF!</definedName>
    <definedName name="TO_SQFT2" localSheetId="6">'[1]Sched F4 Factors'!#REF!</definedName>
    <definedName name="TO_SQFT2" localSheetId="12">'[1]Sched F4 Factors'!#REF!</definedName>
    <definedName name="TO_SQFT2" localSheetId="2">'[1]Sched F4 Factors'!#REF!</definedName>
    <definedName name="TO_SQFT2" localSheetId="4">'[1]Sched F4 Factors'!#REF!</definedName>
    <definedName name="TO_SQFT2" localSheetId="5">'[1]Sched F4 Factors'!#REF!</definedName>
    <definedName name="TO_SQFT2" localSheetId="3">'[1]Sched F4 Factors'!#REF!</definedName>
    <definedName name="TO_SQFT2">'[1]Sched F4 Factors'!#REF!</definedName>
    <definedName name="TY">#N/A</definedName>
  </definedNames>
  <calcPr calcId="152511"/>
</workbook>
</file>

<file path=xl/calcChain.xml><?xml version="1.0" encoding="utf-8"?>
<calcChain xmlns="http://schemas.openxmlformats.org/spreadsheetml/2006/main">
  <c r="C25" i="20" l="1"/>
  <c r="C43" i="20"/>
  <c r="C37" i="20"/>
  <c r="E25" i="20" l="1"/>
  <c r="E43" i="20"/>
  <c r="E37" i="20" l="1"/>
  <c r="F25" i="12" l="1"/>
  <c r="G25" i="12"/>
  <c r="H25" i="12"/>
  <c r="I25" i="12"/>
  <c r="J25" i="12"/>
  <c r="K25" i="12"/>
  <c r="L25" i="12"/>
  <c r="M25" i="12"/>
  <c r="N25" i="12"/>
  <c r="O25" i="12"/>
  <c r="P25" i="12"/>
  <c r="Q25" i="12"/>
  <c r="E67" i="16" l="1"/>
  <c r="E61" i="16"/>
  <c r="E49" i="16"/>
  <c r="E16" i="16" l="1"/>
  <c r="F30" i="12" l="1"/>
  <c r="F31" i="12"/>
  <c r="F58" i="12" l="1"/>
  <c r="F57" i="12"/>
  <c r="F32" i="12"/>
  <c r="F59" i="12" l="1"/>
  <c r="F31" i="17"/>
  <c r="E58" i="10" l="1"/>
  <c r="F57" i="10"/>
  <c r="D19" i="18" l="1"/>
  <c r="D55" i="18"/>
  <c r="D43" i="18"/>
  <c r="D31" i="18"/>
  <c r="E13" i="13"/>
  <c r="F78" i="18"/>
  <c r="E17" i="13"/>
  <c r="E14" i="13"/>
  <c r="E12" i="13"/>
  <c r="E16" i="13"/>
  <c r="E15" i="13"/>
  <c r="E11" i="13"/>
  <c r="F74" i="13"/>
  <c r="F27" i="12"/>
  <c r="Q11" i="12"/>
  <c r="P11" i="12"/>
  <c r="O11" i="12"/>
  <c r="N11" i="12"/>
  <c r="M11" i="12"/>
  <c r="L11" i="12"/>
  <c r="K11" i="12"/>
  <c r="J11" i="12"/>
  <c r="I11" i="12"/>
  <c r="H11" i="12"/>
  <c r="G11" i="12"/>
  <c r="F11" i="12"/>
  <c r="F13" i="12" s="1"/>
  <c r="F56" i="10"/>
  <c r="F55" i="10"/>
  <c r="F54" i="10"/>
  <c r="F53" i="10"/>
  <c r="F52" i="10"/>
  <c r="F58" i="10" l="1"/>
  <c r="E18" i="13"/>
  <c r="A9" i="25"/>
  <c r="A10" i="25" s="1"/>
  <c r="A11" i="25" s="1"/>
  <c r="A12" i="25" s="1"/>
  <c r="A13" i="25" s="1"/>
  <c r="A14" i="25" s="1"/>
  <c r="A15" i="25" s="1"/>
  <c r="A16" i="25" s="1"/>
  <c r="A8" i="25"/>
  <c r="A7" i="24"/>
  <c r="A8" i="24" s="1"/>
  <c r="A9" i="24" s="1"/>
  <c r="A10" i="24" s="1"/>
  <c r="A11" i="24" s="1"/>
  <c r="A12" i="24" s="1"/>
  <c r="A13" i="24" s="1"/>
  <c r="A14" i="24" s="1"/>
  <c r="A15" i="24" s="1"/>
  <c r="A16" i="24" s="1"/>
  <c r="A17" i="24" s="1"/>
  <c r="A18" i="24" s="1"/>
  <c r="A19" i="24" s="1"/>
  <c r="A20" i="24" s="1"/>
  <c r="A21" i="24" s="1"/>
  <c r="A22" i="24" s="1"/>
  <c r="H37" i="18"/>
  <c r="H36" i="18"/>
  <c r="H35" i="18"/>
  <c r="H34" i="18"/>
  <c r="H30" i="18"/>
  <c r="H29" i="18"/>
  <c r="H28" i="18"/>
  <c r="H27" i="18"/>
  <c r="H26" i="18"/>
  <c r="H25" i="18"/>
  <c r="H24" i="18"/>
  <c r="H23" i="18"/>
  <c r="H22" i="18"/>
  <c r="D22" i="24"/>
  <c r="C22" i="24"/>
  <c r="E14" i="24" s="1"/>
  <c r="G19" i="13" l="1"/>
  <c r="H19" i="13"/>
  <c r="F19" i="13"/>
  <c r="H20" i="13"/>
  <c r="F20" i="13"/>
  <c r="G20" i="13"/>
  <c r="E11" i="24"/>
  <c r="E8" i="24"/>
  <c r="E22" i="24"/>
  <c r="F26" i="10" s="1"/>
  <c r="E26" i="10" s="1"/>
  <c r="F21" i="13"/>
  <c r="E25" i="16"/>
  <c r="E27" i="16" s="1"/>
  <c r="D79" i="18"/>
  <c r="A12" i="20"/>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11" i="20"/>
  <c r="A10" i="2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D24" i="21"/>
  <c r="C24" i="21"/>
  <c r="D23" i="21"/>
  <c r="D14" i="21"/>
  <c r="D20" i="21" s="1"/>
  <c r="D13" i="21"/>
  <c r="D19" i="21" s="1"/>
  <c r="D12" i="21"/>
  <c r="D11" i="21"/>
  <c r="D10" i="21"/>
  <c r="E45" i="20"/>
  <c r="C45" i="20"/>
  <c r="G44" i="20"/>
  <c r="C14" i="21" s="1"/>
  <c r="G43" i="20"/>
  <c r="G42" i="20"/>
  <c r="E39" i="20"/>
  <c r="C39" i="20"/>
  <c r="G38" i="20"/>
  <c r="C13" i="21" s="1"/>
  <c r="G37" i="20"/>
  <c r="G36" i="20"/>
  <c r="E33" i="20"/>
  <c r="C33" i="20"/>
  <c r="G32" i="20"/>
  <c r="C11" i="21" s="1"/>
  <c r="G31" i="20"/>
  <c r="G30" i="20"/>
  <c r="E27" i="20"/>
  <c r="C27" i="20"/>
  <c r="G26" i="20"/>
  <c r="C12" i="21" s="1"/>
  <c r="G25" i="20"/>
  <c r="G24" i="20"/>
  <c r="E21" i="20"/>
  <c r="C21" i="20"/>
  <c r="G20" i="20"/>
  <c r="C10" i="21" s="1"/>
  <c r="G19" i="20"/>
  <c r="G18" i="20"/>
  <c r="E15" i="20"/>
  <c r="C15" i="20"/>
  <c r="G14" i="20"/>
  <c r="G13" i="20"/>
  <c r="G12" i="20"/>
  <c r="G11" i="20"/>
  <c r="G10" i="20"/>
  <c r="C19" i="21" l="1"/>
  <c r="E13" i="21"/>
  <c r="C20" i="21"/>
  <c r="E20" i="21" s="1"/>
  <c r="E12" i="21"/>
  <c r="G33" i="20"/>
  <c r="G15" i="20"/>
  <c r="G21" i="20"/>
  <c r="G39" i="20"/>
  <c r="G27" i="20"/>
  <c r="G45" i="20"/>
  <c r="E11" i="21"/>
  <c r="E14" i="21"/>
  <c r="D15" i="21"/>
  <c r="E10" i="21"/>
  <c r="C15" i="2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E41" i="10"/>
  <c r="E40" i="10"/>
  <c r="E39" i="10"/>
  <c r="C39" i="10"/>
  <c r="E38" i="10"/>
  <c r="C38" i="10"/>
  <c r="E37" i="10"/>
  <c r="E36" i="10"/>
  <c r="C36" i="10"/>
  <c r="B41" i="10"/>
  <c r="B40" i="10"/>
  <c r="B39" i="10"/>
  <c r="B38" i="10"/>
  <c r="B37" i="10"/>
  <c r="B36" i="10"/>
  <c r="I26" i="10"/>
  <c r="H26" i="10"/>
  <c r="G26" i="10"/>
  <c r="B26" i="10"/>
  <c r="B27" i="10" s="1"/>
  <c r="B28" i="10" s="1"/>
  <c r="B29" i="10" s="1"/>
  <c r="B30" i="10" s="1"/>
  <c r="B31" i="10" s="1"/>
  <c r="E20" i="19"/>
  <c r="K79" i="18"/>
  <c r="J79" i="18"/>
  <c r="K43" i="18"/>
  <c r="J43" i="18"/>
  <c r="B16" i="10"/>
  <c r="B17" i="10" s="1"/>
  <c r="B18" i="10" s="1"/>
  <c r="B19" i="10" l="1"/>
  <c r="B20" i="10" s="1"/>
  <c r="B21" i="10" s="1"/>
  <c r="K50" i="13"/>
  <c r="E42" i="10"/>
  <c r="E19" i="21"/>
  <c r="E15" i="21"/>
  <c r="K13" i="13"/>
  <c r="K15" i="13"/>
  <c r="K16" i="13"/>
  <c r="K62" i="13"/>
  <c r="K64" i="13"/>
  <c r="K65" i="13"/>
  <c r="G11" i="16"/>
  <c r="I11" i="16"/>
  <c r="K11" i="16"/>
  <c r="H15" i="16"/>
  <c r="J15" i="16"/>
  <c r="G18" i="16"/>
  <c r="I18" i="16"/>
  <c r="K18" i="16"/>
  <c r="G26" i="16"/>
  <c r="F39" i="10" s="1"/>
  <c r="I26" i="16"/>
  <c r="H39" i="10" s="1"/>
  <c r="K26" i="16"/>
  <c r="J39" i="10" s="1"/>
  <c r="G41" i="16"/>
  <c r="G42" i="16" s="1"/>
  <c r="G15" i="19" s="1"/>
  <c r="I41" i="16"/>
  <c r="I42" i="16" s="1"/>
  <c r="I15" i="19" s="1"/>
  <c r="K41" i="16"/>
  <c r="K42" i="16" s="1"/>
  <c r="K15" i="19" s="1"/>
  <c r="G60" i="16"/>
  <c r="I60" i="16"/>
  <c r="K60" i="16"/>
  <c r="H62" i="16"/>
  <c r="J62" i="16"/>
  <c r="G63" i="16"/>
  <c r="I63" i="16"/>
  <c r="K63" i="16"/>
  <c r="H79" i="16"/>
  <c r="H20" i="19" s="1"/>
  <c r="J79" i="16"/>
  <c r="J20" i="19" s="1"/>
  <c r="I10" i="17"/>
  <c r="K10" i="17"/>
  <c r="H11" i="17"/>
  <c r="J11" i="17"/>
  <c r="L11" i="17"/>
  <c r="K10" i="16"/>
  <c r="H11" i="16"/>
  <c r="J11" i="16"/>
  <c r="G15" i="16"/>
  <c r="I15" i="16"/>
  <c r="K15" i="16"/>
  <c r="H18" i="16"/>
  <c r="J18" i="16"/>
  <c r="H26" i="16"/>
  <c r="G39" i="10" s="1"/>
  <c r="J26" i="16"/>
  <c r="I39" i="10" s="1"/>
  <c r="H41" i="16"/>
  <c r="H42" i="16" s="1"/>
  <c r="H15" i="19" s="1"/>
  <c r="J41" i="16"/>
  <c r="J42" i="16" s="1"/>
  <c r="J15" i="19" s="1"/>
  <c r="H60" i="16"/>
  <c r="J60" i="16"/>
  <c r="I62" i="16"/>
  <c r="K62" i="16"/>
  <c r="H63" i="16"/>
  <c r="J63" i="16"/>
  <c r="G79" i="16"/>
  <c r="G20" i="19" s="1"/>
  <c r="I79" i="16"/>
  <c r="I20" i="19" s="1"/>
  <c r="K79" i="16"/>
  <c r="K20" i="19" s="1"/>
  <c r="H10" i="17"/>
  <c r="J10" i="17"/>
  <c r="L10" i="17"/>
  <c r="I11" i="17"/>
  <c r="K11" i="17"/>
  <c r="G10" i="16"/>
  <c r="G28" i="10"/>
  <c r="I16" i="16" s="1"/>
  <c r="G29" i="10"/>
  <c r="I17" i="16" s="1"/>
  <c r="I28" i="10"/>
  <c r="K16" i="16" s="1"/>
  <c r="I29" i="10"/>
  <c r="K17" i="16" s="1"/>
  <c r="H29" i="10"/>
  <c r="J17" i="16" s="1"/>
  <c r="H28" i="10"/>
  <c r="J16" i="16" s="1"/>
  <c r="G62" i="16"/>
  <c r="F29" i="10"/>
  <c r="H17" i="16" s="1"/>
  <c r="F28" i="10"/>
  <c r="H16" i="16" s="1"/>
  <c r="H10" i="16"/>
  <c r="J10" i="16"/>
  <c r="I10" i="16"/>
  <c r="L15" i="13"/>
  <c r="L13" i="13"/>
  <c r="K20" i="13" l="1"/>
  <c r="K69" i="13"/>
  <c r="E21" i="10" s="1"/>
  <c r="C33" i="21" s="1"/>
  <c r="C29" i="21" s="1"/>
  <c r="K68" i="13"/>
  <c r="K56" i="13"/>
  <c r="K21" i="13"/>
  <c r="E19" i="10" s="1"/>
  <c r="C31" i="21" s="1"/>
  <c r="D31" i="21" s="1"/>
  <c r="K19" i="13"/>
  <c r="L19" i="13"/>
  <c r="K37" i="16"/>
  <c r="K38" i="16" s="1"/>
  <c r="K14" i="19" s="1"/>
  <c r="I25" i="16"/>
  <c r="H38" i="10" s="1"/>
  <c r="J37" i="16"/>
  <c r="J38" i="16" s="1"/>
  <c r="J14" i="19" s="1"/>
  <c r="H25" i="16"/>
  <c r="G38" i="10" s="1"/>
  <c r="I37" i="16"/>
  <c r="I38" i="16" s="1"/>
  <c r="I14" i="19" s="1"/>
  <c r="K25" i="16"/>
  <c r="J38" i="10" s="1"/>
  <c r="H37" i="16"/>
  <c r="H38" i="16" s="1"/>
  <c r="H14" i="19" s="1"/>
  <c r="J25" i="16"/>
  <c r="I38" i="10" s="1"/>
  <c r="G12" i="16"/>
  <c r="G11" i="19" s="1"/>
  <c r="J12" i="17"/>
  <c r="H46" i="10" s="1"/>
  <c r="L16" i="13"/>
  <c r="L20" i="13" s="1"/>
  <c r="L64" i="13"/>
  <c r="L12" i="17"/>
  <c r="J46" i="10" s="1"/>
  <c r="H12" i="17"/>
  <c r="F46" i="10" s="1"/>
  <c r="L65" i="13"/>
  <c r="L62" i="13"/>
  <c r="I19" i="16"/>
  <c r="I12" i="19" s="1"/>
  <c r="K12" i="17"/>
  <c r="I46" i="10" s="1"/>
  <c r="J19" i="16"/>
  <c r="J12" i="19" s="1"/>
  <c r="K19" i="16"/>
  <c r="K12" i="19" s="1"/>
  <c r="I12" i="17"/>
  <c r="G46" i="10" s="1"/>
  <c r="H19" i="16"/>
  <c r="H12" i="19" s="1"/>
  <c r="E28" i="10"/>
  <c r="E29" i="10"/>
  <c r="K12" i="16"/>
  <c r="K11" i="19" s="1"/>
  <c r="H12" i="16"/>
  <c r="H11" i="19" s="1"/>
  <c r="I12" i="16"/>
  <c r="I11" i="19" s="1"/>
  <c r="J12" i="16"/>
  <c r="J11" i="19" s="1"/>
  <c r="F57" i="16"/>
  <c r="D84" i="18"/>
  <c r="D83" i="18" s="1"/>
  <c r="L69" i="13" l="1"/>
  <c r="F21" i="10" s="1"/>
  <c r="L68" i="13"/>
  <c r="L21" i="13"/>
  <c r="F19" i="10" s="1"/>
  <c r="G17" i="16"/>
  <c r="G25" i="16"/>
  <c r="F38" i="10" s="1"/>
  <c r="G16" i="16"/>
  <c r="G37" i="16"/>
  <c r="G38" i="16" s="1"/>
  <c r="G14" i="19" s="1"/>
  <c r="K60" i="13"/>
  <c r="K67" i="13" s="1"/>
  <c r="K11" i="13"/>
  <c r="K18" i="13" s="1"/>
  <c r="D33" i="21"/>
  <c r="D29" i="21" s="1"/>
  <c r="E29" i="21" s="1"/>
  <c r="F84" i="18"/>
  <c r="G54" i="18"/>
  <c r="D91" i="18"/>
  <c r="D90" i="18"/>
  <c r="D89" i="18"/>
  <c r="D88" i="18"/>
  <c r="D85" i="18"/>
  <c r="D82" i="18"/>
  <c r="F77" i="18"/>
  <c r="F76" i="18"/>
  <c r="F75" i="18"/>
  <c r="F74" i="18"/>
  <c r="F73" i="18"/>
  <c r="F72" i="18"/>
  <c r="F71" i="18"/>
  <c r="F70" i="18"/>
  <c r="D67" i="18"/>
  <c r="G66" i="18"/>
  <c r="J66" i="18" s="1"/>
  <c r="K74" i="16" s="1"/>
  <c r="G65" i="18"/>
  <c r="J65" i="18" s="1"/>
  <c r="K67" i="16" s="1"/>
  <c r="G64" i="18"/>
  <c r="J64" i="18" s="1"/>
  <c r="K61" i="16" s="1"/>
  <c r="K64" i="16" s="1"/>
  <c r="K17" i="19" s="1"/>
  <c r="G63" i="18"/>
  <c r="J63" i="18" s="1"/>
  <c r="K50" i="16" s="1"/>
  <c r="G62" i="18"/>
  <c r="G61" i="18"/>
  <c r="G60" i="18"/>
  <c r="G59" i="18"/>
  <c r="G58" i="18"/>
  <c r="G53" i="18"/>
  <c r="G52" i="18"/>
  <c r="G51" i="18"/>
  <c r="G50" i="18"/>
  <c r="G49" i="18"/>
  <c r="G48" i="18"/>
  <c r="G47" i="18"/>
  <c r="G46" i="18"/>
  <c r="H42" i="18"/>
  <c r="H41" i="18"/>
  <c r="H40" i="18"/>
  <c r="H39" i="18"/>
  <c r="H38" i="18"/>
  <c r="J13" i="21" l="1"/>
  <c r="G19" i="16"/>
  <c r="G12" i="19" s="1"/>
  <c r="J59" i="18"/>
  <c r="K24" i="16" s="1"/>
  <c r="J37" i="10" s="1"/>
  <c r="K59" i="18"/>
  <c r="J58" i="18"/>
  <c r="K23" i="16" s="1"/>
  <c r="J36" i="10" s="1"/>
  <c r="K58" i="18"/>
  <c r="J60" i="18"/>
  <c r="K60" i="18"/>
  <c r="J62" i="18"/>
  <c r="K31" i="16" s="1"/>
  <c r="J41" i="10" s="1"/>
  <c r="K62" i="18"/>
  <c r="J61" i="18"/>
  <c r="K30" i="16" s="1"/>
  <c r="K61" i="18"/>
  <c r="J47" i="18"/>
  <c r="J24" i="16" s="1"/>
  <c r="I37" i="10" s="1"/>
  <c r="K47" i="18"/>
  <c r="J49" i="18"/>
  <c r="J30" i="16" s="1"/>
  <c r="K49" i="18"/>
  <c r="J46" i="18"/>
  <c r="J23" i="16" s="1"/>
  <c r="I36" i="10" s="1"/>
  <c r="K46" i="18"/>
  <c r="J48" i="18"/>
  <c r="K48" i="18"/>
  <c r="J50" i="18"/>
  <c r="J31" i="16" s="1"/>
  <c r="I41" i="10" s="1"/>
  <c r="K50" i="18"/>
  <c r="J51" i="18"/>
  <c r="J50" i="16" s="1"/>
  <c r="K51" i="18"/>
  <c r="J18" i="21"/>
  <c r="J10" i="21"/>
  <c r="J12" i="21" s="1"/>
  <c r="J21" i="21"/>
  <c r="L11" i="13"/>
  <c r="L18" i="13" s="1"/>
  <c r="K63" i="18"/>
  <c r="K66" i="18"/>
  <c r="L60" i="13"/>
  <c r="L67" i="13" s="1"/>
  <c r="K64" i="18"/>
  <c r="K65" i="18"/>
  <c r="G55" i="18"/>
  <c r="F79" i="18"/>
  <c r="H43" i="18"/>
  <c r="G67" i="18"/>
  <c r="H31" i="18"/>
  <c r="C88" i="18"/>
  <c r="B88" i="18"/>
  <c r="C87" i="18"/>
  <c r="B87" i="18"/>
  <c r="C86" i="18"/>
  <c r="B86" i="18"/>
  <c r="C85" i="18"/>
  <c r="B85" i="18"/>
  <c r="C83" i="18"/>
  <c r="B83" i="18"/>
  <c r="C82" i="18"/>
  <c r="B82" i="18"/>
  <c r="C91" i="18"/>
  <c r="B91" i="18"/>
  <c r="C90" i="18"/>
  <c r="B90" i="18"/>
  <c r="C89" i="18"/>
  <c r="B89" i="18"/>
  <c r="D87" i="18"/>
  <c r="D86" i="18"/>
  <c r="A10" i="18"/>
  <c r="A11" i="18" s="1"/>
  <c r="A12" i="18" s="1"/>
  <c r="A13" i="18" s="1"/>
  <c r="A14" i="18" s="1"/>
  <c r="A15" i="18" s="1"/>
  <c r="A16" i="18" s="1"/>
  <c r="A17" i="18" s="1"/>
  <c r="A18" i="18" s="1"/>
  <c r="A19" i="18" s="1"/>
  <c r="L21" i="17"/>
  <c r="L20" i="17"/>
  <c r="L19" i="17"/>
  <c r="L17" i="17"/>
  <c r="L16" i="17"/>
  <c r="K21" i="17"/>
  <c r="K16" i="17"/>
  <c r="J21" i="17"/>
  <c r="J20" i="17"/>
  <c r="J19" i="17"/>
  <c r="J17" i="17"/>
  <c r="J16" i="17"/>
  <c r="L90" i="13"/>
  <c r="K90" i="13"/>
  <c r="I21" i="17" s="1"/>
  <c r="L87" i="13"/>
  <c r="K87" i="13"/>
  <c r="L85" i="13"/>
  <c r="K85" i="13"/>
  <c r="I16" i="17" s="1"/>
  <c r="K20" i="17"/>
  <c r="L89" i="13"/>
  <c r="K89" i="13"/>
  <c r="I20" i="17" s="1"/>
  <c r="F90" i="13"/>
  <c r="F89" i="13"/>
  <c r="F88" i="13"/>
  <c r="F86" i="13"/>
  <c r="F85" i="13"/>
  <c r="F84" i="13"/>
  <c r="J67" i="18" l="1"/>
  <c r="J40" i="10"/>
  <c r="J42" i="10" s="1"/>
  <c r="J43" i="10" s="1"/>
  <c r="K32" i="16"/>
  <c r="I40" i="10"/>
  <c r="I42" i="10" s="1"/>
  <c r="I43" i="10" s="1"/>
  <c r="H31" i="10" s="1"/>
  <c r="J32" i="16"/>
  <c r="K67" i="18"/>
  <c r="D92"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H87" i="13"/>
  <c r="G87" i="13"/>
  <c r="H30" i="10" l="1"/>
  <c r="I27" i="10"/>
  <c r="I31" i="10"/>
  <c r="I30" i="10"/>
  <c r="K22" i="16" s="1"/>
  <c r="H27" i="10"/>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11" i="13"/>
  <c r="A12" i="13" s="1"/>
  <c r="A13" i="13" s="1"/>
  <c r="A14" i="13" s="1"/>
  <c r="A15" i="13" s="1"/>
  <c r="A16" i="13" s="1"/>
  <c r="A17" i="13" s="1"/>
  <c r="A18" i="13" s="1"/>
  <c r="A19"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10" i="17"/>
  <c r="A11" i="17" s="1"/>
  <c r="A12" i="17" s="1"/>
  <c r="A13" i="17" s="1"/>
  <c r="A14" i="17" s="1"/>
  <c r="A15" i="17" s="1"/>
  <c r="A16" i="17" s="1"/>
  <c r="A17" i="17" s="1"/>
  <c r="A18" i="17" s="1"/>
  <c r="A19" i="17" s="1"/>
  <c r="A20" i="17" s="1"/>
  <c r="A21" i="17" s="1"/>
  <c r="A22" i="17" s="1"/>
  <c r="A23" i="17" s="1"/>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K48" i="16" l="1"/>
  <c r="K51" i="16"/>
  <c r="K54" i="16"/>
  <c r="K53" i="16"/>
  <c r="K46" i="16"/>
  <c r="K52" i="16"/>
  <c r="K45" i="16"/>
  <c r="K47" i="16"/>
  <c r="J48" i="16"/>
  <c r="J52" i="16"/>
  <c r="J45" i="16"/>
  <c r="J51" i="16"/>
  <c r="J54" i="16"/>
  <c r="J47" i="16"/>
  <c r="J53" i="16"/>
  <c r="J46" i="16"/>
  <c r="A24" i="17"/>
  <c r="A25" i="17" s="1"/>
  <c r="A26" i="17" s="1"/>
  <c r="A27" i="17" s="1"/>
  <c r="A28" i="17" s="1"/>
  <c r="A29" i="17" s="1"/>
  <c r="A30" i="17" s="1"/>
  <c r="A31" i="17" s="1"/>
  <c r="A32" i="17" s="1"/>
  <c r="A33" i="17" s="1"/>
  <c r="K30" i="17" l="1"/>
  <c r="L30" i="17"/>
  <c r="K29" i="17"/>
  <c r="L29" i="17"/>
  <c r="L28" i="17"/>
  <c r="K28" i="17"/>
  <c r="K27" i="17"/>
  <c r="L27" i="17"/>
  <c r="K26" i="17"/>
  <c r="L26" i="17"/>
  <c r="K25" i="17"/>
  <c r="L25" i="17"/>
  <c r="E42" i="16"/>
  <c r="E15" i="19" s="1"/>
  <c r="F12" i="17"/>
  <c r="E19" i="16"/>
  <c r="E12" i="19" s="1"/>
  <c r="E32" i="16"/>
  <c r="E34" i="16" s="1"/>
  <c r="E38" i="16"/>
  <c r="E14" i="19" s="1"/>
  <c r="E64" i="16"/>
  <c r="E17" i="19" s="1"/>
  <c r="E12" i="16"/>
  <c r="E11" i="19" s="1"/>
  <c r="E46" i="10" l="1"/>
  <c r="E13" i="19"/>
  <c r="K31" i="17"/>
  <c r="L31" i="17"/>
  <c r="K27" i="16"/>
  <c r="K34" i="16" s="1"/>
  <c r="K13" i="19" s="1"/>
  <c r="G90" i="13" l="1"/>
  <c r="H89" i="13"/>
  <c r="G89" i="13"/>
  <c r="H88" i="13"/>
  <c r="H86" i="13"/>
  <c r="G85" i="13"/>
  <c r="H84" i="13"/>
  <c r="G84" i="13"/>
  <c r="H67" i="13"/>
  <c r="G67" i="13"/>
  <c r="H55" i="13"/>
  <c r="H43" i="13"/>
  <c r="G43" i="13"/>
  <c r="H31" i="13"/>
  <c r="G31" i="13"/>
  <c r="G18" i="13"/>
  <c r="G21" i="13" s="1"/>
  <c r="E66" i="13"/>
  <c r="E65" i="13"/>
  <c r="E64" i="13"/>
  <c r="E63" i="13"/>
  <c r="E62" i="13"/>
  <c r="E61" i="13"/>
  <c r="E60" i="13"/>
  <c r="E54" i="13"/>
  <c r="E53" i="13"/>
  <c r="E51" i="13"/>
  <c r="E49" i="13"/>
  <c r="E48" i="13"/>
  <c r="E42" i="13"/>
  <c r="E41" i="13"/>
  <c r="E40" i="13"/>
  <c r="E39" i="13"/>
  <c r="E38" i="13"/>
  <c r="E37" i="13"/>
  <c r="E36" i="13"/>
  <c r="E30" i="13"/>
  <c r="E29" i="13"/>
  <c r="E28" i="13"/>
  <c r="E27" i="13"/>
  <c r="E26" i="13"/>
  <c r="E25" i="13"/>
  <c r="E24" i="13"/>
  <c r="F75" i="13"/>
  <c r="H90" i="13"/>
  <c r="H85" i="13"/>
  <c r="E90" i="13" l="1"/>
  <c r="E84" i="13"/>
  <c r="E87" i="13"/>
  <c r="F18" i="17" s="1"/>
  <c r="F17" i="17" s="1"/>
  <c r="E85" i="13"/>
  <c r="E89" i="13"/>
  <c r="E31" i="13"/>
  <c r="F33" i="13" s="1"/>
  <c r="F68" i="13"/>
  <c r="G68" i="13"/>
  <c r="H68" i="13"/>
  <c r="H44" i="13"/>
  <c r="G44" i="13"/>
  <c r="F44" i="13"/>
  <c r="H32" i="13"/>
  <c r="G32" i="13"/>
  <c r="F32" i="13"/>
  <c r="K52" i="13"/>
  <c r="K57" i="13" s="1"/>
  <c r="L52" i="13"/>
  <c r="L88" i="13" s="1"/>
  <c r="L50" i="13"/>
  <c r="G8" i="10"/>
  <c r="E8" i="10"/>
  <c r="F8" i="10"/>
  <c r="G10" i="18" s="1"/>
  <c r="E9" i="10"/>
  <c r="F9" i="10"/>
  <c r="G9" i="10"/>
  <c r="G86" i="13"/>
  <c r="G88" i="13"/>
  <c r="F87" i="13"/>
  <c r="F91" i="13" s="1"/>
  <c r="F79" i="13"/>
  <c r="E79" i="13"/>
  <c r="H79" i="13"/>
  <c r="G79" i="13"/>
  <c r="E43" i="13"/>
  <c r="F45" i="13" s="1"/>
  <c r="E67" i="13"/>
  <c r="F69" i="13" s="1"/>
  <c r="E50" i="13"/>
  <c r="E86" i="13" s="1"/>
  <c r="E52" i="13"/>
  <c r="E88" i="13" s="1"/>
  <c r="G55" i="13"/>
  <c r="H18" i="13"/>
  <c r="H21" i="13" s="1"/>
  <c r="E10" i="10"/>
  <c r="H18" i="17" l="1"/>
  <c r="E91" i="13"/>
  <c r="F93" i="13" s="1"/>
  <c r="F92" i="13"/>
  <c r="G81" i="13"/>
  <c r="G69" i="13"/>
  <c r="H81" i="13"/>
  <c r="F81" i="13"/>
  <c r="G91" i="13"/>
  <c r="H69" i="13"/>
  <c r="H56" i="13"/>
  <c r="G56" i="13"/>
  <c r="F56" i="13"/>
  <c r="H45" i="13"/>
  <c r="G45" i="13"/>
  <c r="G92" i="13"/>
  <c r="H33" i="13"/>
  <c r="H92" i="13"/>
  <c r="G33" i="13"/>
  <c r="L57" i="13"/>
  <c r="L56" i="13"/>
  <c r="F17" i="18"/>
  <c r="F90" i="18" s="1"/>
  <c r="F18" i="18"/>
  <c r="F91" i="18" s="1"/>
  <c r="F16" i="18"/>
  <c r="F89" i="18" s="1"/>
  <c r="F15" i="18"/>
  <c r="F88" i="18" s="1"/>
  <c r="F13" i="18"/>
  <c r="F86" i="18" s="1"/>
  <c r="F12" i="18"/>
  <c r="F85" i="18" s="1"/>
  <c r="F14" i="18"/>
  <c r="F87" i="18" s="1"/>
  <c r="F11" i="18"/>
  <c r="F10" i="18"/>
  <c r="F82" i="18" s="1"/>
  <c r="H15" i="18"/>
  <c r="H88" i="18" s="1"/>
  <c r="H12" i="18"/>
  <c r="H85" i="18" s="1"/>
  <c r="H13" i="18"/>
  <c r="H86" i="18" s="1"/>
  <c r="H14" i="18"/>
  <c r="H87" i="18" s="1"/>
  <c r="G10" i="10"/>
  <c r="F10" i="10"/>
  <c r="C22" i="21" s="1"/>
  <c r="G12" i="18"/>
  <c r="G13" i="18"/>
  <c r="G15" i="18"/>
  <c r="G14" i="18"/>
  <c r="G11" i="18"/>
  <c r="J11" i="18" s="1"/>
  <c r="H11" i="18"/>
  <c r="H83" i="18" s="1"/>
  <c r="H10" i="18"/>
  <c r="H82" i="18" s="1"/>
  <c r="H20" i="17"/>
  <c r="H21" i="17"/>
  <c r="K17" i="17"/>
  <c r="K88" i="13"/>
  <c r="I19" i="17" s="1"/>
  <c r="H19" i="17" s="1"/>
  <c r="K19" i="17"/>
  <c r="K86" i="13"/>
  <c r="K92" i="13" s="1"/>
  <c r="J15" i="17"/>
  <c r="L86" i="13"/>
  <c r="L92" i="13" s="1"/>
  <c r="E55" i="13"/>
  <c r="H91" i="13"/>
  <c r="E32" i="12"/>
  <c r="G27" i="12"/>
  <c r="H27" i="12"/>
  <c r="I27" i="12"/>
  <c r="J27" i="12"/>
  <c r="K27" i="12"/>
  <c r="L27" i="12"/>
  <c r="M27" i="12"/>
  <c r="N27" i="12"/>
  <c r="O27" i="12"/>
  <c r="P27" i="12"/>
  <c r="Q27" i="12"/>
  <c r="Q13" i="12"/>
  <c r="P13" i="12"/>
  <c r="O13" i="12"/>
  <c r="N13" i="12"/>
  <c r="M13" i="12"/>
  <c r="L13" i="12"/>
  <c r="K13" i="12"/>
  <c r="J13" i="12"/>
  <c r="I13" i="12"/>
  <c r="H13" i="12"/>
  <c r="G13" i="12"/>
  <c r="Q58" i="12"/>
  <c r="P58" i="12"/>
  <c r="O58" i="12"/>
  <c r="N58" i="12"/>
  <c r="M58" i="12"/>
  <c r="L58" i="12"/>
  <c r="K58" i="12"/>
  <c r="J58" i="12"/>
  <c r="I58" i="12"/>
  <c r="H58" i="12"/>
  <c r="G58" i="12"/>
  <c r="R35" i="12"/>
  <c r="R36" i="12"/>
  <c r="R37" i="12"/>
  <c r="R38" i="12"/>
  <c r="R39" i="12"/>
  <c r="R40" i="12"/>
  <c r="R41" i="12"/>
  <c r="R42" i="12"/>
  <c r="R43" i="12"/>
  <c r="R44" i="12"/>
  <c r="R45" i="12"/>
  <c r="R46" i="12"/>
  <c r="R47" i="12"/>
  <c r="R48" i="12"/>
  <c r="R49" i="12"/>
  <c r="R50" i="12"/>
  <c r="R51" i="12"/>
  <c r="R52" i="12"/>
  <c r="R53" i="12"/>
  <c r="R54" i="12"/>
  <c r="R55" i="12"/>
  <c r="R56" i="12"/>
  <c r="G57" i="12"/>
  <c r="H57" i="12"/>
  <c r="I57" i="12"/>
  <c r="J57" i="12"/>
  <c r="K57" i="12"/>
  <c r="L57" i="12"/>
  <c r="M57" i="12"/>
  <c r="N57" i="12"/>
  <c r="O57" i="12"/>
  <c r="P57" i="12"/>
  <c r="Q57" i="12"/>
  <c r="D30" i="12" l="1"/>
  <c r="D31" i="12"/>
  <c r="P59" i="12"/>
  <c r="L59" i="12"/>
  <c r="H59" i="12"/>
  <c r="N59" i="12"/>
  <c r="J59" i="12"/>
  <c r="F57" i="13"/>
  <c r="H57" i="13"/>
  <c r="H93" i="13"/>
  <c r="G57" i="13"/>
  <c r="G93" i="13"/>
  <c r="Q59" i="12"/>
  <c r="O59" i="12"/>
  <c r="M59" i="12"/>
  <c r="K59" i="12"/>
  <c r="I59" i="12"/>
  <c r="G59" i="12"/>
  <c r="R27" i="12"/>
  <c r="F92" i="18"/>
  <c r="D22" i="21"/>
  <c r="D18" i="21" s="1"/>
  <c r="D27" i="21" s="1"/>
  <c r="C18" i="21"/>
  <c r="K11" i="18"/>
  <c r="K83" i="18" s="1"/>
  <c r="G83" i="18"/>
  <c r="J14" i="18"/>
  <c r="G87" i="18"/>
  <c r="K14" i="18"/>
  <c r="K87" i="18" s="1"/>
  <c r="J13" i="18"/>
  <c r="G86" i="18"/>
  <c r="K13" i="18"/>
  <c r="K86" i="18" s="1"/>
  <c r="G16" i="18"/>
  <c r="G18" i="18"/>
  <c r="G17" i="18"/>
  <c r="H18" i="18"/>
  <c r="H91" i="18" s="1"/>
  <c r="H17" i="18"/>
  <c r="H90" i="18" s="1"/>
  <c r="H16" i="18"/>
  <c r="G82" i="18"/>
  <c r="J10" i="18"/>
  <c r="K10" i="18"/>
  <c r="J15" i="18"/>
  <c r="G88" i="18"/>
  <c r="K15" i="18"/>
  <c r="K88" i="18" s="1"/>
  <c r="J12" i="18"/>
  <c r="J85" i="18" s="1"/>
  <c r="K12" i="18"/>
  <c r="K85" i="18" s="1"/>
  <c r="G85" i="18"/>
  <c r="H16" i="17"/>
  <c r="L18" i="17"/>
  <c r="K18" i="17"/>
  <c r="J18" i="17"/>
  <c r="J22" i="17" s="1"/>
  <c r="I18" i="17"/>
  <c r="E20" i="10"/>
  <c r="C32" i="21" s="1"/>
  <c r="C28" i="21" s="1"/>
  <c r="F20" i="10"/>
  <c r="L15" i="17"/>
  <c r="I17" i="17"/>
  <c r="H17" i="17" s="1"/>
  <c r="R58" i="12"/>
  <c r="R13" i="12"/>
  <c r="I25" i="19" s="1"/>
  <c r="J30" i="12"/>
  <c r="F22" i="17"/>
  <c r="R57" i="12"/>
  <c r="R18" i="12"/>
  <c r="R19" i="12"/>
  <c r="R20" i="12"/>
  <c r="R21" i="12"/>
  <c r="R22" i="12"/>
  <c r="R23" i="12"/>
  <c r="R24" i="12"/>
  <c r="R25" i="12"/>
  <c r="R9" i="12"/>
  <c r="R10" i="12"/>
  <c r="R11" i="12"/>
  <c r="F61" i="12" l="1"/>
  <c r="E47" i="10"/>
  <c r="E48" i="10" s="1"/>
  <c r="F33" i="17"/>
  <c r="I30" i="12"/>
  <c r="O30" i="12"/>
  <c r="G30" i="12"/>
  <c r="H30" i="12"/>
  <c r="L30" i="12"/>
  <c r="M30" i="12"/>
  <c r="P30" i="12"/>
  <c r="Q30" i="12"/>
  <c r="K30" i="12"/>
  <c r="N30" i="12"/>
  <c r="L31" i="12"/>
  <c r="R59" i="12"/>
  <c r="K25" i="19" s="1"/>
  <c r="E18" i="21"/>
  <c r="C21" i="21"/>
  <c r="C27" i="21"/>
  <c r="D32" i="21"/>
  <c r="D28" i="21" s="1"/>
  <c r="E28" i="21" s="1"/>
  <c r="I10" i="21" s="1"/>
  <c r="D21" i="21"/>
  <c r="K82" i="18"/>
  <c r="H89" i="18"/>
  <c r="H92" i="18" s="1"/>
  <c r="H19" i="18"/>
  <c r="J18" i="18"/>
  <c r="I74" i="16" s="1"/>
  <c r="K18" i="18"/>
  <c r="G91" i="18"/>
  <c r="I30" i="16"/>
  <c r="J86" i="18"/>
  <c r="H30" i="16" s="1"/>
  <c r="G30" i="16" s="1"/>
  <c r="I50" i="16"/>
  <c r="J88" i="18"/>
  <c r="H50" i="16" s="1"/>
  <c r="J82" i="18"/>
  <c r="H23" i="16" s="1"/>
  <c r="I23" i="16"/>
  <c r="H36" i="10" s="1"/>
  <c r="J17" i="18"/>
  <c r="I67" i="16" s="1"/>
  <c r="K17" i="18"/>
  <c r="G90" i="18"/>
  <c r="J16" i="18"/>
  <c r="G19" i="18"/>
  <c r="K16" i="18"/>
  <c r="G89" i="18"/>
  <c r="J87" i="18"/>
  <c r="H31" i="16" s="1"/>
  <c r="I31" i="16"/>
  <c r="H41" i="10" s="1"/>
  <c r="I24" i="16"/>
  <c r="H37" i="10" s="1"/>
  <c r="J83" i="18"/>
  <c r="H24" i="16" s="1"/>
  <c r="L55" i="13"/>
  <c r="H47" i="10"/>
  <c r="H48" i="10" s="1"/>
  <c r="L22" i="17"/>
  <c r="K54" i="18"/>
  <c r="K53" i="18"/>
  <c r="K52" i="18"/>
  <c r="J54" i="18"/>
  <c r="J53" i="18"/>
  <c r="J52" i="18"/>
  <c r="K31" i="18"/>
  <c r="L84" i="13"/>
  <c r="L91" i="13" s="1"/>
  <c r="L93" i="13" s="1"/>
  <c r="P31" i="12"/>
  <c r="P32" i="12" s="1"/>
  <c r="P61" i="12" s="1"/>
  <c r="N31" i="12"/>
  <c r="J31" i="12"/>
  <c r="J32" i="12" s="1"/>
  <c r="J61" i="12" s="1"/>
  <c r="H31" i="12"/>
  <c r="Q31" i="12"/>
  <c r="Q32" i="12" s="1"/>
  <c r="Q61" i="12" s="1"/>
  <c r="O31" i="12"/>
  <c r="M31" i="12"/>
  <c r="K31" i="12"/>
  <c r="I31" i="12"/>
  <c r="G31" i="12"/>
  <c r="I32" i="12" l="1"/>
  <c r="I61" i="12" s="1"/>
  <c r="H49" i="10"/>
  <c r="H32" i="12"/>
  <c r="H61" i="12" s="1"/>
  <c r="G32" i="12"/>
  <c r="G61" i="12" s="1"/>
  <c r="O32" i="12"/>
  <c r="O61" i="12" s="1"/>
  <c r="N32" i="12"/>
  <c r="N61" i="12" s="1"/>
  <c r="R30" i="12"/>
  <c r="K32" i="12"/>
  <c r="K61" i="12" s="1"/>
  <c r="M32" i="12"/>
  <c r="M61" i="12" s="1"/>
  <c r="L32" i="12"/>
  <c r="L61" i="12" s="1"/>
  <c r="I61" i="16"/>
  <c r="I64" i="16" s="1"/>
  <c r="I17" i="19" s="1"/>
  <c r="J89" i="18"/>
  <c r="E21" i="21"/>
  <c r="K19" i="18"/>
  <c r="K90" i="18"/>
  <c r="K91" i="18"/>
  <c r="C30" i="21"/>
  <c r="E27" i="21"/>
  <c r="D30" i="21"/>
  <c r="G92" i="18"/>
  <c r="G41" i="10"/>
  <c r="G31" i="16"/>
  <c r="F41" i="10" s="1"/>
  <c r="G36" i="10"/>
  <c r="G23" i="16"/>
  <c r="F36" i="10" s="1"/>
  <c r="H32" i="16"/>
  <c r="G40" i="10"/>
  <c r="J19" i="18"/>
  <c r="G37" i="10"/>
  <c r="G24" i="16"/>
  <c r="F37" i="10" s="1"/>
  <c r="H40" i="10"/>
  <c r="I32" i="16"/>
  <c r="J47" i="10"/>
  <c r="J48" i="10" s="1"/>
  <c r="J49" i="10" s="1"/>
  <c r="L33" i="17"/>
  <c r="J67" i="16"/>
  <c r="J90" i="18"/>
  <c r="H67" i="16" s="1"/>
  <c r="K55" i="18"/>
  <c r="K89" i="18"/>
  <c r="J61" i="16"/>
  <c r="J64" i="16" s="1"/>
  <c r="J55" i="18"/>
  <c r="J74" i="16"/>
  <c r="J91" i="18"/>
  <c r="H74" i="16" s="1"/>
  <c r="J31" i="18"/>
  <c r="R31" i="12"/>
  <c r="H42" i="10" l="1"/>
  <c r="H43" i="10" s="1"/>
  <c r="R61" i="12"/>
  <c r="H25" i="19" s="1"/>
  <c r="H13" i="21"/>
  <c r="H18" i="21"/>
  <c r="G32" i="16"/>
  <c r="E30" i="21"/>
  <c r="K92" i="18"/>
  <c r="H10" i="21"/>
  <c r="H21" i="21"/>
  <c r="I12" i="21"/>
  <c r="I21" i="21"/>
  <c r="F40" i="10"/>
  <c r="F42" i="10" s="1"/>
  <c r="F43" i="10" s="1"/>
  <c r="G42" i="10"/>
  <c r="G43" i="10" s="1"/>
  <c r="F27" i="10" s="1"/>
  <c r="K49" i="16"/>
  <c r="K55" i="16" s="1"/>
  <c r="J49" i="16"/>
  <c r="J55" i="16" s="1"/>
  <c r="H61" i="16"/>
  <c r="G61" i="16" s="1"/>
  <c r="J92" i="18"/>
  <c r="J17" i="19"/>
  <c r="R32" i="12"/>
  <c r="J25" i="19" s="1"/>
  <c r="G50" i="16"/>
  <c r="G27" i="10" l="1"/>
  <c r="J29" i="17" s="1"/>
  <c r="G31" i="10"/>
  <c r="I48" i="16" s="1"/>
  <c r="G30" i="10"/>
  <c r="I22" i="16" s="1"/>
  <c r="I27" i="16" s="1"/>
  <c r="I34" i="16" s="1"/>
  <c r="I13" i="19" s="1"/>
  <c r="K21" i="21"/>
  <c r="K10" i="21"/>
  <c r="H12" i="21"/>
  <c r="K12" i="21" s="1"/>
  <c r="I18" i="21"/>
  <c r="K18" i="21" s="1"/>
  <c r="I13" i="21"/>
  <c r="E27" i="10"/>
  <c r="E30" i="10"/>
  <c r="G22" i="16" s="1"/>
  <c r="G27" i="16" s="1"/>
  <c r="E31" i="10"/>
  <c r="G48" i="16" s="1"/>
  <c r="F31" i="10"/>
  <c r="H48" i="16" s="1"/>
  <c r="F30" i="10"/>
  <c r="H22" i="16" s="1"/>
  <c r="H27" i="16" s="1"/>
  <c r="H34" i="16" s="1"/>
  <c r="H13" i="19" s="1"/>
  <c r="H64" i="16"/>
  <c r="H17" i="19" s="1"/>
  <c r="G64" i="16"/>
  <c r="G17" i="19" s="1"/>
  <c r="J68" i="16"/>
  <c r="J69" i="16" s="1"/>
  <c r="J18" i="19" s="1"/>
  <c r="H68" i="16"/>
  <c r="H69" i="16" s="1"/>
  <c r="H18" i="19" s="1"/>
  <c r="K68" i="16"/>
  <c r="K69" i="16" s="1"/>
  <c r="K18" i="19" s="1"/>
  <c r="I68" i="16"/>
  <c r="I69" i="16" s="1"/>
  <c r="I18" i="19" s="1"/>
  <c r="G68" i="16"/>
  <c r="J16" i="19"/>
  <c r="K16" i="19"/>
  <c r="K57" i="16"/>
  <c r="G74" i="16"/>
  <c r="E55" i="16"/>
  <c r="J27" i="17" l="1"/>
  <c r="J25" i="17"/>
  <c r="I51" i="16"/>
  <c r="I54" i="16"/>
  <c r="I47" i="16"/>
  <c r="J30" i="17"/>
  <c r="I45" i="16"/>
  <c r="I53" i="16"/>
  <c r="I49" i="16"/>
  <c r="J26" i="17"/>
  <c r="I52" i="16"/>
  <c r="I46" i="16"/>
  <c r="J28" i="17"/>
  <c r="G34" i="16"/>
  <c r="G13" i="19" s="1"/>
  <c r="K13" i="21"/>
  <c r="I26" i="17"/>
  <c r="I28" i="17"/>
  <c r="I30" i="17"/>
  <c r="I25" i="17"/>
  <c r="I27" i="17"/>
  <c r="I29" i="17"/>
  <c r="G51" i="16"/>
  <c r="G54" i="16"/>
  <c r="G53" i="16"/>
  <c r="G46" i="16"/>
  <c r="G52" i="16"/>
  <c r="G45" i="16"/>
  <c r="G47" i="16"/>
  <c r="G49" i="16"/>
  <c r="H25" i="17"/>
  <c r="H26" i="17"/>
  <c r="H27" i="17"/>
  <c r="H28" i="17"/>
  <c r="H29" i="17"/>
  <c r="H30" i="17"/>
  <c r="H52" i="16"/>
  <c r="H45" i="16"/>
  <c r="H51" i="16"/>
  <c r="H54" i="16"/>
  <c r="H47" i="16"/>
  <c r="H53" i="16"/>
  <c r="H46" i="16"/>
  <c r="H49" i="16"/>
  <c r="K75" i="16"/>
  <c r="K76" i="16" s="1"/>
  <c r="K19" i="19" s="1"/>
  <c r="K21" i="19" s="1"/>
  <c r="I75" i="16"/>
  <c r="I76" i="16" s="1"/>
  <c r="I19" i="19" s="1"/>
  <c r="G75" i="16"/>
  <c r="G76" i="16" s="1"/>
  <c r="J75" i="16"/>
  <c r="H75" i="16"/>
  <c r="H76" i="16" s="1"/>
  <c r="H19" i="19" s="1"/>
  <c r="K71" i="16"/>
  <c r="E57" i="16"/>
  <c r="E16" i="19"/>
  <c r="E76" i="16"/>
  <c r="E19" i="19" s="1"/>
  <c r="J31" i="17" l="1"/>
  <c r="J33" i="17" s="1"/>
  <c r="I55" i="16"/>
  <c r="I57" i="16" s="1"/>
  <c r="I71" i="16" s="1"/>
  <c r="I81" i="16" s="1"/>
  <c r="J76" i="16"/>
  <c r="J19" i="19" s="1"/>
  <c r="H19" i="21"/>
  <c r="H14" i="21"/>
  <c r="J19" i="21"/>
  <c r="J14" i="21"/>
  <c r="J15" i="21" s="1"/>
  <c r="H55" i="16"/>
  <c r="H16" i="19" s="1"/>
  <c r="H21" i="19" s="1"/>
  <c r="H31" i="17"/>
  <c r="G55" i="16"/>
  <c r="I31" i="17"/>
  <c r="G19" i="19"/>
  <c r="K81" i="16"/>
  <c r="I16" i="19" l="1"/>
  <c r="I21" i="19" s="1"/>
  <c r="I14" i="21"/>
  <c r="I15" i="21" s="1"/>
  <c r="I17" i="21" s="1"/>
  <c r="I19" i="21"/>
  <c r="K19" i="21" s="1"/>
  <c r="H57" i="16"/>
  <c r="H71" i="16" s="1"/>
  <c r="H81" i="16" s="1"/>
  <c r="H15" i="21"/>
  <c r="J17" i="21"/>
  <c r="J20" i="21" s="1"/>
  <c r="J22" i="21" s="1"/>
  <c r="K22" i="19"/>
  <c r="G57" i="16"/>
  <c r="G16" i="19"/>
  <c r="K15" i="17"/>
  <c r="K22" i="17" s="1"/>
  <c r="K84" i="13"/>
  <c r="K55" i="13"/>
  <c r="K14" i="21" l="1"/>
  <c r="J22" i="19"/>
  <c r="I20" i="21"/>
  <c r="I22" i="21" s="1"/>
  <c r="K23" i="19"/>
  <c r="K30" i="19" s="1"/>
  <c r="K29" i="19" s="1"/>
  <c r="I22" i="19"/>
  <c r="K15" i="21"/>
  <c r="H17" i="21"/>
  <c r="I47" i="10"/>
  <c r="I48" i="10" s="1"/>
  <c r="I49" i="10" s="1"/>
  <c r="K33" i="17"/>
  <c r="K91" i="13"/>
  <c r="I15" i="17"/>
  <c r="H15" i="17" s="1"/>
  <c r="H22" i="17" s="1"/>
  <c r="K93" i="13" l="1"/>
  <c r="K31" i="19"/>
  <c r="K32" i="19" s="1"/>
  <c r="K33" i="19" s="1"/>
  <c r="I23" i="19"/>
  <c r="I30" i="19" s="1"/>
  <c r="I29" i="19" s="1"/>
  <c r="K17" i="21"/>
  <c r="H22" i="19" s="1"/>
  <c r="H20" i="21"/>
  <c r="H22" i="21" s="1"/>
  <c r="I22" i="17"/>
  <c r="I33" i="17" s="1"/>
  <c r="J22" i="16"/>
  <c r="J27" i="16" s="1"/>
  <c r="H23" i="19" l="1"/>
  <c r="H30" i="19" s="1"/>
  <c r="H29" i="19" s="1"/>
  <c r="H31" i="19" s="1"/>
  <c r="H32" i="19" s="1"/>
  <c r="H33" i="19" s="1"/>
  <c r="I31" i="19"/>
  <c r="I32" i="19" s="1"/>
  <c r="I33" i="19" s="1"/>
  <c r="K20" i="21"/>
  <c r="K22" i="21" s="1"/>
  <c r="G47" i="10"/>
  <c r="G48" i="10" s="1"/>
  <c r="G49" i="10" s="1"/>
  <c r="H33" i="17"/>
  <c r="F47" i="10"/>
  <c r="F48" i="10" s="1"/>
  <c r="F49" i="10" s="1"/>
  <c r="J34" i="16"/>
  <c r="J13" i="19" s="1"/>
  <c r="J21" i="19" s="1"/>
  <c r="J57" i="16"/>
  <c r="J71" i="16" s="1"/>
  <c r="J81" i="16" s="1"/>
  <c r="J23" i="19" l="1"/>
  <c r="J30" i="19" s="1"/>
  <c r="J29" i="19" s="1"/>
  <c r="J31" i="19" s="1"/>
  <c r="J32" i="19" s="1"/>
  <c r="J33" i="19" s="1"/>
  <c r="E69" i="16"/>
  <c r="E71" i="16" s="1"/>
  <c r="E81" i="16" s="1"/>
  <c r="G67" i="16"/>
  <c r="G69" i="16" s="1"/>
  <c r="G71" i="16" s="1"/>
  <c r="G81" i="16" s="1"/>
  <c r="E18" i="19" l="1"/>
  <c r="E21" i="19" s="1"/>
  <c r="G18" i="19"/>
  <c r="G21" i="19" s="1"/>
</calcChain>
</file>

<file path=xl/sharedStrings.xml><?xml version="1.0" encoding="utf-8"?>
<sst xmlns="http://schemas.openxmlformats.org/spreadsheetml/2006/main" count="974" uniqueCount="462">
  <si>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</si>
  <si>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</si>
  <si>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</si>
  <si>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</si>
  <si>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</si>
  <si>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</si>
  <si>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</si>
  <si>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</si>
  <si>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</si>
  <si>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</si>
  <si>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</si>
  <si>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</si>
  <si>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</si>
  <si>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</si>
  <si>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</si>
  <si>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</si>
  <si>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</si>
  <si>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</si>
  <si>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</si>
  <si>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</si>
  <si>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</si>
  <si>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</si>
  <si>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</si>
  <si>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</si>
  <si>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</si>
  <si>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</si>
  <si>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</si>
  <si>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</si>
  <si>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</si>
  <si>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</si>
  <si>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</si>
  <si>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</si>
  <si>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</si>
  <si>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</si>
  <si>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</si>
  <si>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</si>
  <si>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</si>
  <si>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</si>
  <si>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</si>
  <si>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</si>
  <si>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</si>
  <si>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</si>
  <si>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</si>
  <si>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</si>
  <si>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</si>
  <si>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</si>
  <si>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</si>
  <si>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</si>
  <si>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</si>
  <si>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</si>
  <si>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</si>
  <si>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</si>
  <si>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</si>
  <si>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</si>
  <si>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</si>
  <si>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</si>
  <si>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</si>
  <si>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</si>
  <si>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</si>
  <si>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</si>
  <si>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</si>
  <si>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</si>
  <si>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</si>
  <si>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</si>
  <si>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</si>
  <si>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</si>
  <si>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</si>
  <si>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</si>
  <si>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</si>
  <si>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</si>
  <si>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</si>
  <si>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</si>
  <si>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</si>
  <si>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</si>
  <si>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</si>
  <si>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</si>
  <si>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</si>
  <si>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</si>
  <si>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</si>
  <si>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</si>
  <si>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</si>
  <si>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</si>
  <si>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</si>
  <si>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</si>
  <si>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</si>
  <si>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</si>
  <si>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</si>
  <si>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</si>
  <si>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</si>
  <si>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</si>
  <si>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</si>
  <si>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</si>
  <si>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</si>
  <si>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</si>
  <si>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</si>
  <si>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</si>
  <si>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</si>
  <si>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</si>
  <si>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</si>
  <si>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</si>
  <si>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</si>
  <si>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</si>
  <si>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</si>
  <si>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</si>
  <si>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</si>
  <si>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</si>
  <si>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</si>
  <si>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</si>
  <si>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</si>
  <si>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</si>
  <si>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</si>
  <si>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</si>
  <si>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</si>
  <si>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</si>
  <si>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</si>
  <si>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</si>
  <si>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</si>
  <si>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</si>
  <si>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</si>
  <si>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</si>
  <si>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</si>
  <si>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</si>
  <si>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</si>
  <si>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</si>
  <si>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</si>
  <si>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</si>
  <si>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</si>
  <si>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</si>
  <si>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</si>
  <si>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</si>
  <si>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</si>
  <si>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</si>
  <si>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</si>
  <si>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</si>
  <si>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</si>
  <si>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</si>
  <si>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</si>
  <si>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</si>
  <si>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</si>
  <si>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</si>
  <si>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</si>
  <si>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</si>
  <si>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</si>
  <si>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</si>
  <si>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</si>
  <si>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</si>
  <si>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</si>
  <si>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</si>
  <si>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</si>
  <si>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</si>
  <si>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</si>
  <si>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</si>
  <si>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</si>
  <si>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</si>
  <si>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</si>
  <si>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</si>
  <si>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</si>
  <si>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</si>
  <si>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</si>
  <si>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</si>
  <si>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</si>
  <si>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</si>
  <si>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</si>
  <si>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</si>
  <si>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</si>
  <si>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</si>
  <si>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</si>
  <si>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</si>
  <si>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</si>
  <si>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</si>
  <si>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</si>
  <si>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</si>
  <si>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</si>
  <si>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</si>
  <si>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</si>
  <si>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</si>
  <si>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</si>
  <si>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</si>
  <si>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</si>
  <si>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</si>
  <si>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</si>
  <si>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</si>
  <si>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</si>
  <si>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SCADA GSEC</t>
  </si>
  <si>
    <t>Common</t>
  </si>
  <si>
    <t>Other Expense (Letter of Credit)</t>
  </si>
  <si>
    <t>Property Insurance SFA</t>
  </si>
  <si>
    <t>---------------</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</si>
  <si>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</si>
  <si>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</si>
  <si>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</si>
  <si>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</si>
  <si>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</si>
  <si>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</si>
  <si>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</si>
  <si>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</si>
  <si>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</si>
  <si>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</si>
  <si>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</si>
  <si>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</si>
  <si>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</si>
  <si>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</si>
  <si>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</si>
  <si>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</si>
  <si>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</si>
  <si>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</si>
  <si>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</si>
  <si>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</si>
  <si>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</si>
  <si>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</si>
  <si>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</si>
  <si>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</si>
  <si>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</si>
  <si>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</si>
  <si>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</si>
  <si>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</si>
  <si>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</si>
  <si>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</si>
  <si>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</si>
  <si>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</si>
  <si>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</si>
  <si>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</si>
  <si>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</si>
  <si>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</si>
  <si>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</si>
  <si>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</si>
  <si>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</si>
  <si>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</si>
  <si>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</si>
  <si>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</si>
  <si>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</si>
  <si>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</si>
  <si>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</si>
  <si>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</si>
  <si>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</si>
  <si>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</si>
  <si>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</si>
  <si>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</si>
  <si>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</si>
  <si>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</si>
  <si>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</si>
  <si>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</si>
  <si>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</si>
  <si>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</si>
  <si>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</si>
  <si>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</si>
  <si>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</si>
  <si>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</si>
  <si>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</si>
  <si>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</si>
  <si>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</si>
  <si>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</si>
  <si>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</si>
  <si>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</si>
  <si>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</si>
  <si>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</si>
  <si>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</si>
  <si>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</si>
  <si>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</si>
  <si>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</si>
  <si>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</si>
  <si>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</si>
  <si>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</si>
  <si>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</si>
  <si>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</si>
  <si>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</si>
  <si>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</si>
  <si>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</si>
  <si>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</si>
  <si>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</si>
  <si>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</si>
  <si>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</si>
  <si>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</si>
  <si>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</si>
  <si>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</si>
  <si>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</si>
  <si>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</si>
  <si>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</si>
  <si>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</si>
  <si>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</si>
  <si>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</si>
  <si>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</si>
  <si>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</si>
  <si>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</si>
  <si>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</si>
  <si>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</si>
  <si>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</si>
  <si>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</si>
  <si>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</si>
  <si>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</si>
  <si>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</si>
  <si>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</si>
  <si>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</si>
  <si>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</si>
  <si>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</si>
  <si>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</si>
  <si>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</si>
  <si>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</si>
  <si>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</si>
  <si>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</si>
  <si>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</si>
  <si>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</si>
  <si>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</si>
  <si>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</si>
  <si>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</si>
  <si>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</si>
  <si>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</si>
  <si>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</si>
  <si>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</si>
  <si>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</si>
  <si>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</si>
  <si>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</si>
  <si>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</si>
  <si>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</si>
  <si>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</si>
  <si>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</si>
  <si>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</si>
  <si>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</si>
  <si>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</si>
  <si>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</si>
  <si>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</si>
  <si>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</si>
  <si>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</si>
  <si>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</si>
  <si>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</si>
  <si>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</si>
  <si>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</si>
  <si>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</si>
  <si>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</si>
  <si>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</si>
  <si>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</si>
  <si>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</si>
  <si>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</si>
  <si>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</si>
  <si>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</si>
  <si>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</si>
  <si>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</si>
  <si>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</si>
  <si>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</si>
  <si>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</si>
  <si>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</si>
  <si>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</si>
  <si>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</si>
  <si>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</si>
  <si>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</si>
  <si>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</si>
  <si>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</si>
  <si>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</si>
  <si>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</si>
  <si>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</si>
  <si>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</si>
  <si>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</si>
  <si>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</si>
  <si>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</si>
  <si>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</si>
  <si>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</si>
  <si>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</si>
  <si>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</si>
  <si>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</si>
  <si>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</si>
  <si>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</si>
  <si>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</si>
  <si>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</si>
  <si>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</si>
  <si>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</si>
  <si>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</si>
  <si>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</si>
  <si>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</si>
  <si>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</si>
  <si>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</si>
  <si>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</si>
  <si>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</si>
  <si>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</si>
  <si>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</si>
  <si>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</si>
  <si>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</si>
  <si>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</si>
  <si>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</si>
  <si>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</si>
  <si>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</si>
  <si>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</si>
  <si>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</si>
  <si>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</si>
  <si>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</si>
  <si>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</si>
  <si>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</si>
  <si>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</si>
  <si>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</si>
  <si>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</si>
  <si>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</si>
  <si>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</si>
  <si>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</si>
  <si>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</si>
  <si>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</si>
  <si>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</si>
  <si>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</si>
  <si>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</si>
  <si>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</si>
  <si>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</si>
  <si>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</si>
  <si>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</si>
  <si>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</si>
  <si>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</si>
  <si>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</si>
  <si>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</si>
  <si>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</si>
  <si>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</si>
  <si>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Reference FERC Form 1 page 450.1 for notes.</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</si>
  <si>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</si>
  <si>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</si>
  <si>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</si>
  <si>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</si>
  <si>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</si>
  <si>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</si>
  <si>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</si>
  <si>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</si>
  <si>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</si>
  <si>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</si>
  <si>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</si>
  <si>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</si>
  <si>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</si>
  <si>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</si>
  <si>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</si>
  <si>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</si>
  <si>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</si>
  <si>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</si>
  <si>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</si>
  <si>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</si>
  <si>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</si>
  <si>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</si>
  <si>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</si>
  <si>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</si>
  <si>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</si>
  <si>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</si>
  <si>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</si>
  <si>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</si>
  <si>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</si>
  <si>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</si>
  <si>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</si>
  <si>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</si>
  <si>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</si>
  <si>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</si>
  <si>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</si>
  <si>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</si>
  <si>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</si>
  <si>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</si>
  <si>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</si>
  <si>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</si>
  <si>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</si>
  <si>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Notes:</t>
  </si>
  <si>
    <t>Note: The DSC will remain fixed at 1.5 until a FPA Section 205 filing</t>
  </si>
  <si>
    <t>Greenbelt Total Plant less 350</t>
  </si>
  <si>
    <t>POSEY/WOLFFORTH</t>
  </si>
  <si>
    <t>Functionalization of Distribution Substation Investment - Sample Data For GSEC Owned Substations</t>
  </si>
  <si>
    <t>Office Supplies</t>
  </si>
  <si>
    <t>2016 SPP Transmission Rates</t>
  </si>
  <si>
    <t>Summary of 12/31/2015 Plant Accounts</t>
  </si>
  <si>
    <t>CY2015 Transmission Plant Investment</t>
  </si>
  <si>
    <t>Allocation of CY2015 Operating Expenses</t>
  </si>
  <si>
    <t>CY2015 Transmission Expenses</t>
  </si>
  <si>
    <t>Summary of SPP 2015 Usage</t>
  </si>
  <si>
    <t>Year Ended December 31,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</si>
</sst>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38" x14ac:knownFonts="1">
    <font>
      <sz val="11"/>
      <color theme="1"/>
      <name val="Calibri"/>
      <family val="2"/>
      <scheme val="minor"/>
    </font>
    <font>
      <sz val="10"/>
      <color theme="1"/>
      <name val="Arial"/>
      <family val="2"/>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
      <sz val="10"/>
      <color rgb="FFFF0000"/>
      <name val="Calibri"/>
      <family val="2"/>
      <scheme val="minor"/>
    </font>
    <font>
      <b/>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2">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37" fontId="5" fillId="0" borderId="0">
      <alignment vertical="top"/>
    </xf>
    <xf numFmtId="0" fontId="5" fillId="0" borderId="0">
      <alignment vertical="top"/>
    </xf>
    <xf numFmtId="0" fontId="5" fillId="0" borderId="0"/>
    <xf numFmtId="40" fontId="5" fillId="0" borderId="0" applyFont="0" applyFill="0" applyBorder="0" applyAlignment="0" applyProtection="0"/>
    <xf numFmtId="10" fontId="5" fillId="0" borderId="0" applyFont="0" applyFill="0" applyBorder="0" applyAlignment="0" applyProtection="0"/>
    <xf numFmtId="4" fontId="9" fillId="0" borderId="0"/>
    <xf numFmtId="37" fontId="5" fillId="0" borderId="0" applyFont="0" applyFill="0" applyBorder="0" applyAlignment="0" applyProtection="0"/>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3" fontId="12" fillId="2" borderId="0" applyFont="0" applyBorder="0" applyAlignment="0" applyProtection="0"/>
    <xf numFmtId="0" fontId="5" fillId="0" borderId="3" applyNumberFormat="0" applyFont="0" applyFill="0" applyAlignment="0" applyProtection="0"/>
    <xf numFmtId="0" fontId="17" fillId="0" borderId="0"/>
    <xf numFmtId="43" fontId="17" fillId="0" borderId="0" applyFon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8" applyNumberFormat="0" applyAlignment="0" applyProtection="0"/>
    <xf numFmtId="0" fontId="32" fillId="7" borderId="9" applyNumberFormat="0" applyAlignment="0" applyProtection="0"/>
    <xf numFmtId="0" fontId="33" fillId="7" borderId="8" applyNumberFormat="0" applyAlignment="0" applyProtection="0"/>
    <xf numFmtId="0" fontId="34" fillId="0" borderId="10" applyNumberFormat="0" applyFill="0" applyAlignment="0" applyProtection="0"/>
    <xf numFmtId="0" fontId="35" fillId="8" borderId="11" applyNumberFormat="0" applyAlignment="0" applyProtection="0"/>
    <xf numFmtId="0" fontId="19" fillId="0" borderId="0" applyNumberFormat="0" applyFill="0" applyBorder="0" applyAlignment="0" applyProtection="0"/>
    <xf numFmtId="0" fontId="6" fillId="9" borderId="12" applyNumberFormat="0" applyFont="0" applyAlignment="0" applyProtection="0"/>
    <xf numFmtId="0" fontId="36" fillId="0" borderId="0" applyNumberFormat="0" applyFill="0" applyBorder="0" applyAlignment="0" applyProtection="0"/>
    <xf numFmtId="0" fontId="7" fillId="0" borderId="13" applyNumberFormat="0" applyFill="0" applyAlignment="0" applyProtection="0"/>
    <xf numFmtId="0" fontId="3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7" fillId="33" borderId="0" applyNumberFormat="0" applyBorder="0" applyAlignment="0" applyProtection="0"/>
    <xf numFmtId="165" fontId="5" fillId="0" borderId="0"/>
    <xf numFmtId="165" fontId="27" fillId="0" borderId="7" applyNumberFormat="0" applyFill="0" applyAlignment="0" applyProtection="0"/>
    <xf numFmtId="165" fontId="5" fillId="0" borderId="0"/>
    <xf numFmtId="165" fontId="24" fillId="0" borderId="0" applyNumberFormat="0" applyFill="0" applyBorder="0" applyAlignment="0" applyProtection="0"/>
    <xf numFmtId="165" fontId="5" fillId="0" borderId="3" applyNumberFormat="0" applyFont="0" applyFill="0" applyAlignment="0" applyProtection="0"/>
    <xf numFmtId="165" fontId="26" fillId="0" borderId="6" applyNumberFormat="0" applyFill="0" applyAlignment="0" applyProtection="0"/>
    <xf numFmtId="165" fontId="6" fillId="0" borderId="0"/>
    <xf numFmtId="165" fontId="11" fillId="0" borderId="0" applyNumberForma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165" fontId="6" fillId="0" borderId="0"/>
    <xf numFmtId="165" fontId="10" fillId="0" borderId="0" applyNumberFormat="0" applyFill="0" applyBorder="0" applyAlignment="0" applyProtection="0"/>
    <xf numFmtId="165" fontId="5" fillId="0" borderId="0"/>
    <xf numFmtId="165" fontId="12" fillId="0" borderId="0"/>
    <xf numFmtId="165" fontId="25" fillId="0" borderId="5" applyNumberFormat="0" applyFill="0" applyAlignment="0" applyProtection="0"/>
    <xf numFmtId="165" fontId="6" fillId="15" borderId="0" applyNumberFormat="0" applyBorder="0" applyAlignment="0" applyProtection="0"/>
    <xf numFmtId="165" fontId="27" fillId="0" borderId="0" applyNumberFormat="0" applyFill="0" applyBorder="0" applyAlignment="0" applyProtection="0"/>
    <xf numFmtId="165" fontId="19" fillId="0" borderId="0" applyNumberFormat="0" applyFill="0" applyBorder="0" applyAlignment="0" applyProtection="0"/>
    <xf numFmtId="165" fontId="37" fillId="17" borderId="0" applyNumberFormat="0" applyBorder="0" applyAlignment="0" applyProtection="0"/>
    <xf numFmtId="165" fontId="6" fillId="9" borderId="12" applyNumberFormat="0" applyFont="0" applyAlignment="0" applyProtection="0"/>
    <xf numFmtId="165" fontId="7" fillId="0" borderId="13" applyNumberFormat="0" applyFill="0" applyAlignment="0" applyProtection="0"/>
    <xf numFmtId="165" fontId="6" fillId="11" borderId="0" applyNumberFormat="0" applyBorder="0" applyAlignment="0" applyProtection="0"/>
    <xf numFmtId="165" fontId="37" fillId="18" borderId="0" applyNumberFormat="0" applyBorder="0" applyAlignment="0" applyProtection="0"/>
    <xf numFmtId="165" fontId="28" fillId="3" borderId="0" applyNumberFormat="0" applyBorder="0" applyAlignment="0" applyProtection="0"/>
    <xf numFmtId="165" fontId="35" fillId="8" borderId="11" applyNumberFormat="0" applyAlignment="0" applyProtection="0"/>
    <xf numFmtId="165" fontId="6" fillId="19" borderId="0" applyNumberFormat="0" applyBorder="0" applyAlignment="0" applyProtection="0"/>
    <xf numFmtId="165" fontId="30" fillId="5" borderId="0" applyNumberFormat="0" applyBorder="0" applyAlignment="0" applyProtection="0"/>
    <xf numFmtId="165" fontId="29" fillId="4" borderId="0" applyNumberFormat="0" applyBorder="0" applyAlignment="0" applyProtection="0"/>
    <xf numFmtId="165" fontId="32" fillId="7" borderId="9" applyNumberFormat="0" applyAlignment="0" applyProtection="0"/>
    <xf numFmtId="165" fontId="34" fillId="0" borderId="10" applyNumberFormat="0" applyFill="0" applyAlignment="0" applyProtection="0"/>
    <xf numFmtId="165" fontId="33" fillId="7" borderId="8" applyNumberFormat="0" applyAlignment="0" applyProtection="0"/>
    <xf numFmtId="165" fontId="6" fillId="12" borderId="0" applyNumberFormat="0" applyBorder="0" applyAlignment="0" applyProtection="0"/>
    <xf numFmtId="165" fontId="37" fillId="10" borderId="0" applyNumberFormat="0" applyBorder="0" applyAlignment="0" applyProtection="0"/>
    <xf numFmtId="165" fontId="37" fillId="14" borderId="0" applyNumberFormat="0" applyBorder="0" applyAlignment="0" applyProtection="0"/>
    <xf numFmtId="165" fontId="5" fillId="0" borderId="0" applyFont="0" applyFill="0" applyBorder="0" applyAlignment="0" applyProtection="0"/>
    <xf numFmtId="165" fontId="37" fillId="13" borderId="0" applyNumberFormat="0" applyBorder="0" applyAlignment="0" applyProtection="0"/>
    <xf numFmtId="165" fontId="36" fillId="0" borderId="0" applyNumberFormat="0" applyFill="0" applyBorder="0" applyAlignment="0" applyProtection="0"/>
    <xf numFmtId="165" fontId="31" fillId="6" borderId="8" applyNumberFormat="0" applyAlignment="0" applyProtection="0"/>
    <xf numFmtId="165" fontId="6" fillId="16" borderId="0" applyNumberFormat="0" applyBorder="0" applyAlignment="0" applyProtection="0"/>
    <xf numFmtId="165" fontId="6" fillId="20" borderId="0" applyNumberFormat="0" applyBorder="0" applyAlignment="0" applyProtection="0"/>
    <xf numFmtId="165" fontId="37" fillId="21" borderId="0" applyNumberFormat="0" applyBorder="0" applyAlignment="0" applyProtection="0"/>
    <xf numFmtId="165" fontId="37" fillId="22" borderId="0" applyNumberFormat="0" applyBorder="0" applyAlignment="0" applyProtection="0"/>
    <xf numFmtId="165" fontId="6" fillId="23" borderId="0" applyNumberFormat="0" applyBorder="0" applyAlignment="0" applyProtection="0"/>
    <xf numFmtId="165" fontId="6" fillId="24" borderId="0" applyNumberFormat="0" applyBorder="0" applyAlignment="0" applyProtection="0"/>
    <xf numFmtId="165" fontId="37" fillId="25" borderId="0" applyNumberFormat="0" applyBorder="0" applyAlignment="0" applyProtection="0"/>
    <xf numFmtId="165" fontId="37" fillId="26" borderId="0" applyNumberFormat="0" applyBorder="0" applyAlignment="0" applyProtection="0"/>
    <xf numFmtId="165" fontId="6" fillId="27" borderId="0" applyNumberFormat="0" applyBorder="0" applyAlignment="0" applyProtection="0"/>
    <xf numFmtId="165" fontId="6" fillId="28" borderId="0" applyNumberFormat="0" applyBorder="0" applyAlignment="0" applyProtection="0"/>
    <xf numFmtId="165" fontId="37" fillId="29" borderId="0" applyNumberFormat="0" applyBorder="0" applyAlignment="0" applyProtection="0"/>
    <xf numFmtId="165" fontId="37" fillId="30" borderId="0" applyNumberFormat="0" applyBorder="0" applyAlignment="0" applyProtection="0"/>
    <xf numFmtId="165" fontId="6" fillId="31" borderId="0" applyNumberFormat="0" applyBorder="0" applyAlignment="0" applyProtection="0"/>
    <xf numFmtId="165" fontId="6" fillId="32" borderId="0" applyNumberFormat="0" applyBorder="0" applyAlignment="0" applyProtection="0"/>
    <xf numFmtId="165" fontId="37" fillId="33" borderId="0" applyNumberFormat="0" applyBorder="0" applyAlignment="0" applyProtection="0"/>
    <xf numFmtId="165" fontId="6" fillId="0" borderId="0"/>
  </cellStyleXfs>
  <cellXfs count="195">
    <xf numFmtId="0" fontId="0" fillId="0" borderId="0" xfId="0"/>
    <xf numFmtId="164" fontId="0" fillId="0" borderId="0" xfId="2" applyNumberFormat="1" applyFont="1"/>
    <xf numFmtId="0" fontId="0" fillId="0" borderId="0" xfId="0" applyFill="1"/>
    <xf numFmtId="164" fontId="0" fillId="0" borderId="0" xfId="2" applyNumberFormat="1" applyFont="1" applyFill="1"/>
    <xf numFmtId="164" fontId="0" fillId="0" borderId="0" xfId="0" applyNumberFormat="1"/>
    <xf numFmtId="0" fontId="0" fillId="0" borderId="1" xfId="0" applyBorder="1"/>
    <xf numFmtId="0" fontId="0" fillId="0" borderId="0" xfId="0" applyBorder="1"/>
    <xf numFmtId="0" fontId="0" fillId="0" borderId="0" xfId="0" applyFill="1" applyBorder="1"/>
    <xf numFmtId="10" fontId="0" fillId="0" borderId="0" xfId="3" applyNumberFormat="1" applyFont="1"/>
    <xf numFmtId="164" fontId="0" fillId="0" borderId="1" xfId="2" applyNumberFormat="1" applyFont="1" applyBorder="1"/>
    <xf numFmtId="37" fontId="8" fillId="0" borderId="0" xfId="4" applyFont="1" applyAlignment="1">
      <alignment horizontal="centerContinuous"/>
    </xf>
    <xf numFmtId="37" fontId="5" fillId="0" borderId="0" xfId="4" applyAlignment="1"/>
    <xf numFmtId="0" fontId="5" fillId="0" borderId="0" xfId="5" applyAlignment="1"/>
    <xf numFmtId="0" fontId="5" fillId="0" borderId="0" xfId="6"/>
    <xf numFmtId="37" fontId="5" fillId="0" borderId="0" xfId="4" applyFont="1" applyAlignment="1">
      <alignment horizontal="center"/>
    </xf>
    <xf numFmtId="0" fontId="0" fillId="0" borderId="0" xfId="0" quotePrefix="1"/>
    <xf numFmtId="43" fontId="0" fillId="0" borderId="0" xfId="2" applyFont="1"/>
    <xf numFmtId="43" fontId="0" fillId="0" borderId="0" xfId="0" applyNumberFormat="1"/>
    <xf numFmtId="0" fontId="14" fillId="0" borderId="0" xfId="0" applyFont="1"/>
    <xf numFmtId="0" fontId="15" fillId="0" borderId="0" xfId="0" applyFont="1"/>
    <xf numFmtId="165" fontId="13" fillId="0" borderId="0" xfId="0" applyNumberFormat="1" applyFont="1" applyAlignment="1">
      <alignment horizontal="left"/>
    </xf>
    <xf numFmtId="164" fontId="0" fillId="0" borderId="2" xfId="2" applyNumberFormat="1" applyFont="1" applyBorder="1"/>
    <xf numFmtId="10" fontId="0" fillId="0" borderId="0" xfId="0" applyNumberFormat="1"/>
    <xf numFmtId="37" fontId="5" fillId="0" borderId="0" xfId="4" quotePrefix="1" applyAlignment="1"/>
    <xf numFmtId="10" fontId="5" fillId="0" borderId="0" xfId="3" applyNumberFormat="1" applyFont="1" applyAlignment="1"/>
    <xf numFmtId="14" fontId="0" fillId="0" borderId="0" xfId="0" applyNumberFormat="1" applyAlignment="1">
      <alignment horizontal="center"/>
    </xf>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0" fontId="16" fillId="0" borderId="0" xfId="0" quotePrefix="1" applyFont="1" applyAlignment="1">
      <alignment horizontal="center"/>
    </xf>
    <xf numFmtId="0" fontId="0" fillId="0" borderId="1" xfId="0" applyFill="1" applyBorder="1"/>
    <xf numFmtId="164" fontId="0" fillId="0" borderId="0" xfId="0" applyNumberFormat="1" applyFill="1"/>
    <xf numFmtId="0" fontId="0" fillId="0" borderId="0" xfId="0" applyAlignment="1">
      <alignment horizontal="center"/>
    </xf>
    <xf numFmtId="0" fontId="0" fillId="0" borderId="0" xfId="0" quotePrefix="1" applyAlignment="1">
      <alignment horizontal="center"/>
    </xf>
    <xf numFmtId="0" fontId="0" fillId="0" borderId="0" xfId="0" quotePrefix="1" applyAlignment="1">
      <alignment horizontal="center"/>
    </xf>
    <xf numFmtId="37" fontId="5" fillId="0" borderId="0" xfId="4" applyAlignment="1">
      <alignment horizontal="center"/>
    </xf>
    <xf numFmtId="37" fontId="5" fillId="0" borderId="0" xfId="4" quotePrefix="1" applyAlignment="1">
      <alignment horizontal="center"/>
    </xf>
    <xf numFmtId="0" fontId="0" fillId="0" borderId="0" xfId="0" applyAlignment="1">
      <alignment horizontal="center"/>
    </xf>
    <xf numFmtId="0" fontId="0" fillId="0" borderId="0" xfId="0" applyAlignment="1">
      <alignment horizontal="center"/>
    </xf>
    <xf numFmtId="37" fontId="5" fillId="0" borderId="0" xfId="4" applyAlignment="1">
      <alignment horizontal="center"/>
    </xf>
    <xf numFmtId="0" fontId="0" fillId="0" borderId="0" xfId="0" quotePrefix="1" applyAlignment="1">
      <alignment horizontal="center"/>
    </xf>
    <xf numFmtId="164" fontId="5" fillId="0" borderId="0" xfId="2" applyNumberFormat="1" applyFont="1" applyAlignment="1"/>
    <xf numFmtId="37" fontId="5" fillId="0" borderId="1" xfId="4" applyBorder="1" applyAlignment="1"/>
    <xf numFmtId="14" fontId="16"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0" fillId="0" borderId="0" xfId="0" applyAlignment="1">
      <alignment horizontal="center"/>
    </xf>
    <xf numFmtId="166" fontId="0" fillId="0" borderId="0" xfId="2" applyNumberFormat="1" applyFont="1"/>
    <xf numFmtId="0" fontId="0" fillId="0" borderId="0" xfId="0" applyAlignment="1">
      <alignment horizontal="center"/>
    </xf>
    <xf numFmtId="37" fontId="5" fillId="0" borderId="0" xfId="4" applyAlignment="1">
      <alignment horizontal="center"/>
    </xf>
    <xf numFmtId="37" fontId="5" fillId="0" borderId="0" xfId="4" applyAlignment="1">
      <alignment horizontal="center"/>
    </xf>
    <xf numFmtId="0" fontId="17" fillId="0" borderId="0" xfId="24"/>
    <xf numFmtId="43" fontId="17" fillId="0" borderId="0" xfId="24" applyNumberFormat="1"/>
    <xf numFmtId="0" fontId="17" fillId="0" borderId="0" xfId="24" applyAlignment="1">
      <alignment horizontal="center"/>
    </xf>
    <xf numFmtId="164" fontId="17" fillId="0" borderId="0" xfId="2" applyNumberFormat="1" applyFont="1"/>
    <xf numFmtId="164" fontId="17" fillId="0" borderId="0" xfId="24" applyNumberFormat="1"/>
    <xf numFmtId="0" fontId="17" fillId="0" borderId="0" xfId="24" quotePrefix="1" applyAlignment="1">
      <alignment horizontal="center"/>
    </xf>
    <xf numFmtId="0" fontId="17" fillId="0" borderId="1" xfId="24" applyBorder="1"/>
    <xf numFmtId="0" fontId="17" fillId="0" borderId="0" xfId="24" applyFill="1"/>
    <xf numFmtId="0" fontId="17" fillId="0" borderId="1" xfId="24" applyFill="1" applyBorder="1"/>
    <xf numFmtId="0" fontId="17" fillId="0" borderId="0" xfId="24" applyFill="1" applyAlignment="1">
      <alignment horizontal="center"/>
    </xf>
    <xf numFmtId="0" fontId="0" fillId="0" borderId="0" xfId="0" applyAlignment="1">
      <alignment horizontal="center"/>
    </xf>
    <xf numFmtId="37" fontId="5" fillId="0" borderId="0" xfId="4" applyAlignment="1">
      <alignment horizontal="center"/>
    </xf>
    <xf numFmtId="37" fontId="5" fillId="0" borderId="0" xfId="4" applyAlignment="1">
      <alignment horizontal="left"/>
    </xf>
    <xf numFmtId="0" fontId="0" fillId="0" borderId="0" xfId="0" applyAlignment="1">
      <alignment horizontal="center"/>
    </xf>
    <xf numFmtId="0" fontId="0" fillId="0" borderId="0" xfId="0" applyAlignment="1">
      <alignment horizontal="left"/>
    </xf>
    <xf numFmtId="9" fontId="5" fillId="0" borderId="0" xfId="3" applyFont="1" applyAlignment="1"/>
    <xf numFmtId="0" fontId="0" fillId="0" borderId="0" xfId="0" applyAlignment="1">
      <alignment horizontal="centerContinuous"/>
    </xf>
    <xf numFmtId="37" fontId="5" fillId="0" borderId="0" xfId="4" applyBorder="1" applyAlignment="1"/>
    <xf numFmtId="0" fontId="0" fillId="0" borderId="0" xfId="0" applyAlignment="1">
      <alignment horizontal="center"/>
    </xf>
    <xf numFmtId="37" fontId="5" fillId="0" borderId="0" xfId="4" applyAlignment="1">
      <alignment horizontal="center"/>
    </xf>
    <xf numFmtId="0" fontId="5" fillId="0" borderId="0" xfId="24" applyFont="1" applyAlignment="1">
      <alignment horizontal="center"/>
    </xf>
    <xf numFmtId="43" fontId="20" fillId="0" borderId="0" xfId="2" applyFont="1"/>
    <xf numFmtId="0" fontId="16" fillId="0" borderId="0" xfId="0" applyFont="1"/>
    <xf numFmtId="0" fontId="16" fillId="0" borderId="0" xfId="0" applyFont="1" applyAlignment="1">
      <alignment horizontal="left"/>
    </xf>
    <xf numFmtId="0" fontId="16" fillId="0" borderId="0" xfId="0" applyFont="1" applyAlignment="1">
      <alignment horizontal="center"/>
    </xf>
    <xf numFmtId="0" fontId="16" fillId="0" borderId="0" xfId="0" applyFont="1" applyBorder="1"/>
    <xf numFmtId="0" fontId="16" fillId="0" borderId="1" xfId="0" applyFont="1" applyBorder="1"/>
    <xf numFmtId="164" fontId="16" fillId="0" borderId="0" xfId="2" applyNumberFormat="1" applyFont="1"/>
    <xf numFmtId="164" fontId="16" fillId="0" borderId="1" xfId="2" applyNumberFormat="1" applyFont="1" applyBorder="1"/>
    <xf numFmtId="164" fontId="16" fillId="0" borderId="0" xfId="0" applyNumberFormat="1" applyFont="1"/>
    <xf numFmtId="0" fontId="16" fillId="0" borderId="0" xfId="0" applyFont="1" applyFill="1"/>
    <xf numFmtId="0" fontId="16" fillId="0" borderId="1" xfId="0" applyFont="1" applyFill="1" applyBorder="1"/>
    <xf numFmtId="164" fontId="16" fillId="0" borderId="0" xfId="0" applyNumberFormat="1" applyFont="1" applyFill="1"/>
    <xf numFmtId="0" fontId="16" fillId="0" borderId="2" xfId="0" applyFont="1" applyBorder="1"/>
    <xf numFmtId="164" fontId="16" fillId="0" borderId="2" xfId="2" applyNumberFormat="1" applyFont="1" applyBorder="1"/>
    <xf numFmtId="164" fontId="16" fillId="0" borderId="0" xfId="2" applyNumberFormat="1" applyFont="1" applyAlignment="1">
      <alignment horizontal="center"/>
    </xf>
    <xf numFmtId="164" fontId="16" fillId="0" borderId="0" xfId="0" applyNumberFormat="1" applyFont="1" applyAlignment="1">
      <alignment horizontal="center"/>
    </xf>
    <xf numFmtId="0" fontId="16" fillId="0" borderId="0" xfId="0" applyFont="1" applyFill="1" applyBorder="1"/>
    <xf numFmtId="0" fontId="23" fillId="0" borderId="1" xfId="0" applyFont="1" applyBorder="1"/>
    <xf numFmtId="164" fontId="22" fillId="0" borderId="0" xfId="2" applyNumberFormat="1" applyFont="1"/>
    <xf numFmtId="164" fontId="20" fillId="0" borderId="0" xfId="2" applyNumberFormat="1" applyFont="1" applyFill="1"/>
    <xf numFmtId="164" fontId="0" fillId="0" borderId="0" xfId="2" applyNumberFormat="1" applyFont="1"/>
    <xf numFmtId="164" fontId="20" fillId="0" borderId="0" xfId="2" applyNumberFormat="1" applyFont="1"/>
    <xf numFmtId="10" fontId="20" fillId="0" borderId="0" xfId="3" applyNumberFormat="1" applyFont="1"/>
    <xf numFmtId="165" fontId="20" fillId="0" borderId="0" xfId="73" applyFont="1"/>
    <xf numFmtId="164" fontId="3" fillId="0" borderId="0" xfId="2" applyNumberFormat="1" applyFont="1" applyFill="1" applyBorder="1"/>
    <xf numFmtId="10" fontId="0" fillId="0" borderId="0" xfId="3" applyNumberFormat="1" applyFont="1" applyFill="1"/>
    <xf numFmtId="164" fontId="16" fillId="0" borderId="0" xfId="2" applyNumberFormat="1" applyFont="1" applyFill="1"/>
    <xf numFmtId="0" fontId="16" fillId="0" borderId="2" xfId="0" applyFont="1" applyFill="1" applyBorder="1"/>
    <xf numFmtId="43" fontId="0" fillId="0" borderId="0" xfId="25" applyFont="1" applyFill="1" applyBorder="1"/>
    <xf numFmtId="43" fontId="17" fillId="0" borderId="2" xfId="24" applyNumberFormat="1" applyFill="1" applyBorder="1"/>
    <xf numFmtId="0" fontId="17" fillId="0" borderId="0" xfId="24" applyFill="1" applyBorder="1"/>
    <xf numFmtId="43" fontId="0" fillId="0" borderId="0" xfId="25" applyFont="1" applyFill="1" applyAlignment="1">
      <alignment horizontal="center"/>
    </xf>
    <xf numFmtId="43" fontId="0" fillId="0" borderId="4" xfId="25" applyFont="1" applyFill="1" applyBorder="1"/>
    <xf numFmtId="43" fontId="0" fillId="0" borderId="0" xfId="25" applyFont="1" applyFill="1" applyBorder="1" applyAlignment="1">
      <alignment horizontal="center"/>
    </xf>
    <xf numFmtId="43" fontId="5" fillId="0" borderId="0" xfId="25" applyFont="1" applyFill="1" applyBorder="1" applyAlignment="1">
      <alignment horizontal="center"/>
    </xf>
    <xf numFmtId="43" fontId="0" fillId="0" borderId="0" xfId="2" applyNumberFormat="1" applyFont="1"/>
    <xf numFmtId="43" fontId="16" fillId="0" borderId="0" xfId="0" applyNumberFormat="1" applyFont="1"/>
    <xf numFmtId="2" fontId="16" fillId="0" borderId="0" xfId="0" applyNumberFormat="1" applyFont="1"/>
    <xf numFmtId="164" fontId="22" fillId="0" borderId="0" xfId="0" applyNumberFormat="1" applyFont="1" applyFill="1"/>
    <xf numFmtId="0" fontId="0" fillId="0" borderId="0" xfId="0" applyFill="1" applyAlignment="1">
      <alignment horizontal="center"/>
    </xf>
    <xf numFmtId="0" fontId="0" fillId="0" borderId="0" xfId="0" applyFill="1" applyAlignment="1">
      <alignment horizontal="left"/>
    </xf>
    <xf numFmtId="0" fontId="0" fillId="0" borderId="0" xfId="0" quotePrefix="1" applyFill="1" applyAlignment="1">
      <alignment horizontal="center"/>
    </xf>
    <xf numFmtId="0" fontId="7" fillId="0" borderId="1" xfId="0" applyFont="1" applyFill="1" applyBorder="1"/>
    <xf numFmtId="164" fontId="20" fillId="0" borderId="0" xfId="0" applyNumberFormat="1" applyFont="1" applyFill="1"/>
    <xf numFmtId="164" fontId="20" fillId="0" borderId="1" xfId="0" applyNumberFormat="1" applyFont="1" applyFill="1" applyBorder="1"/>
    <xf numFmtId="164" fontId="0" fillId="0" borderId="1" xfId="0" applyNumberFormat="1" applyFill="1" applyBorder="1"/>
    <xf numFmtId="41" fontId="0" fillId="0" borderId="0" xfId="2" applyNumberFormat="1" applyFont="1" applyFill="1" applyBorder="1"/>
    <xf numFmtId="164" fontId="0" fillId="0" borderId="1" xfId="2" applyNumberFormat="1" applyFont="1" applyFill="1" applyBorder="1"/>
    <xf numFmtId="43" fontId="0" fillId="0" borderId="0" xfId="2" applyFont="1" applyFill="1"/>
    <xf numFmtId="10" fontId="0" fillId="0" borderId="0" xfId="0" applyNumberFormat="1" applyFill="1"/>
    <xf numFmtId="164" fontId="0" fillId="0" borderId="1" xfId="0" applyNumberFormat="1" applyFont="1" applyFill="1" applyBorder="1"/>
    <xf numFmtId="43" fontId="0" fillId="0" borderId="0" xfId="25" applyFont="1" applyFill="1"/>
    <xf numFmtId="0" fontId="3" fillId="0" borderId="0" xfId="0" quotePrefix="1" applyFont="1" applyFill="1" applyAlignment="1">
      <alignment horizontal="center"/>
    </xf>
    <xf numFmtId="164" fontId="5" fillId="0" borderId="0" xfId="2" applyNumberFormat="1" applyFont="1" applyFill="1"/>
    <xf numFmtId="0" fontId="18" fillId="0" borderId="0" xfId="24" applyFont="1" applyFill="1" applyAlignment="1">
      <alignment horizontal="center"/>
    </xf>
    <xf numFmtId="164" fontId="3" fillId="0" borderId="0" xfId="2" applyNumberFormat="1" applyFont="1" applyFill="1"/>
    <xf numFmtId="0" fontId="2" fillId="0" borderId="0" xfId="0" applyFont="1" applyFill="1"/>
    <xf numFmtId="164" fontId="3" fillId="0" borderId="0" xfId="0" applyNumberFormat="1" applyFont="1" applyFill="1"/>
    <xf numFmtId="164" fontId="3" fillId="0" borderId="1" xfId="0" applyNumberFormat="1" applyFont="1" applyFill="1" applyBorder="1"/>
    <xf numFmtId="0" fontId="16" fillId="0" borderId="0" xfId="0" quotePrefix="1" applyFont="1" applyFill="1" applyAlignment="1">
      <alignment horizontal="center"/>
    </xf>
    <xf numFmtId="0" fontId="4" fillId="0" borderId="0" xfId="0" applyFont="1" applyFill="1" applyBorder="1" applyAlignment="1">
      <alignment horizontal="center"/>
    </xf>
    <xf numFmtId="0" fontId="2" fillId="0" borderId="0" xfId="0" applyFont="1" applyFill="1" applyAlignment="1">
      <alignment horizontal="center"/>
    </xf>
    <xf numFmtId="164" fontId="19" fillId="0" borderId="0" xfId="2" applyNumberFormat="1" applyFont="1" applyFill="1"/>
    <xf numFmtId="0" fontId="0" fillId="0" borderId="0" xfId="0" applyFill="1"/>
    <xf numFmtId="164" fontId="0" fillId="0" borderId="0" xfId="0" applyNumberFormat="1" applyFill="1"/>
    <xf numFmtId="164" fontId="16" fillId="0" borderId="0" xfId="0" applyNumberFormat="1" applyFont="1" applyFill="1"/>
    <xf numFmtId="164" fontId="22" fillId="0" borderId="0" xfId="2" applyNumberFormat="1" applyFont="1" applyFill="1"/>
    <xf numFmtId="0" fontId="0" fillId="0" borderId="0" xfId="0" applyFill="1" applyAlignment="1">
      <alignment horizontal="center"/>
    </xf>
    <xf numFmtId="0" fontId="0" fillId="0" borderId="0" xfId="0" quotePrefix="1" applyFill="1"/>
    <xf numFmtId="43" fontId="0" fillId="0" borderId="0" xfId="0" applyNumberFormat="1" applyFill="1"/>
    <xf numFmtId="164" fontId="19" fillId="0" borderId="0" xfId="0" applyNumberFormat="1" applyFont="1" applyFill="1"/>
    <xf numFmtId="164" fontId="19" fillId="0" borderId="1" xfId="0" applyNumberFormat="1" applyFont="1" applyFill="1" applyBorder="1"/>
    <xf numFmtId="164" fontId="19" fillId="0" borderId="1" xfId="2" applyNumberFormat="1" applyFont="1" applyFill="1" applyBorder="1"/>
    <xf numFmtId="164" fontId="22" fillId="0" borderId="1" xfId="0" applyNumberFormat="1" applyFont="1" applyFill="1" applyBorder="1"/>
    <xf numFmtId="0" fontId="0" fillId="0" borderId="0" xfId="0" applyFill="1" applyAlignment="1">
      <alignment horizontal="center"/>
    </xf>
    <xf numFmtId="37" fontId="5" fillId="0" borderId="0" xfId="4" applyFont="1" applyFill="1" applyAlignment="1"/>
    <xf numFmtId="37" fontId="21" fillId="0" borderId="0" xfId="4" applyFont="1" applyFill="1" applyAlignment="1"/>
    <xf numFmtId="164" fontId="21" fillId="0" borderId="0" xfId="2" applyNumberFormat="1" applyFont="1" applyFill="1" applyAlignment="1"/>
    <xf numFmtId="0" fontId="0" fillId="0" borderId="0" xfId="0" applyFill="1" applyAlignment="1">
      <alignment horizontal="centerContinuous"/>
    </xf>
    <xf numFmtId="37" fontId="5" fillId="0" borderId="0" xfId="4" applyFill="1" applyAlignment="1"/>
    <xf numFmtId="37" fontId="5" fillId="0" borderId="0" xfId="4" applyFill="1" applyBorder="1" applyAlignment="1"/>
    <xf numFmtId="0" fontId="5" fillId="0" borderId="0" xfId="24" applyFont="1" applyFill="1" applyAlignment="1">
      <alignment horizontal="center"/>
    </xf>
    <xf numFmtId="37" fontId="5" fillId="0" borderId="0" xfId="4" applyFill="1" applyAlignment="1">
      <alignment horizontal="center"/>
    </xf>
    <xf numFmtId="37" fontId="5" fillId="0" borderId="0" xfId="4" applyFill="1" applyAlignment="1">
      <alignment horizontal="left"/>
    </xf>
    <xf numFmtId="39" fontId="5" fillId="0" borderId="0" xfId="4" applyNumberFormat="1" applyFont="1" applyFill="1" applyAlignment="1"/>
    <xf numFmtId="10" fontId="5" fillId="0" borderId="0" xfId="3" applyNumberFormat="1" applyFont="1" applyFill="1" applyAlignment="1"/>
    <xf numFmtId="43" fontId="19" fillId="0" borderId="0" xfId="25" applyFont="1" applyFill="1" applyBorder="1"/>
    <xf numFmtId="43" fontId="19" fillId="0" borderId="1" xfId="25" applyFont="1" applyFill="1" applyBorder="1"/>
    <xf numFmtId="49" fontId="17" fillId="0" borderId="0" xfId="24" applyNumberFormat="1" applyFill="1"/>
    <xf numFmtId="0" fontId="5" fillId="0" borderId="0" xfId="24" applyFont="1" applyFill="1" applyBorder="1"/>
    <xf numFmtId="17" fontId="17" fillId="0" borderId="0" xfId="24" applyNumberFormat="1" applyFill="1" applyBorder="1"/>
    <xf numFmtId="43" fontId="0" fillId="0" borderId="1" xfId="25" applyFont="1" applyFill="1" applyBorder="1"/>
    <xf numFmtId="43" fontId="17" fillId="0" borderId="0" xfId="24" applyNumberFormat="1" applyFill="1"/>
    <xf numFmtId="43" fontId="0" fillId="0" borderId="2" xfId="25" applyFont="1" applyFill="1" applyBorder="1"/>
    <xf numFmtId="0" fontId="5" fillId="0" borderId="0" xfId="24" applyFont="1" applyFill="1"/>
    <xf numFmtId="164" fontId="21" fillId="0" borderId="0" xfId="2" applyNumberFormat="1" applyFont="1" applyFill="1" applyBorder="1"/>
    <xf numFmtId="164" fontId="21" fillId="0" borderId="1" xfId="2" applyNumberFormat="1" applyFont="1" applyFill="1" applyBorder="1"/>
    <xf numFmtId="44" fontId="2" fillId="0" borderId="0" xfId="0" applyNumberFormat="1" applyFont="1" applyFill="1"/>
    <xf numFmtId="0" fontId="2" fillId="0" borderId="0" xfId="0" applyFont="1" applyFill="1" applyBorder="1" applyAlignment="1">
      <alignment horizontal="center"/>
    </xf>
    <xf numFmtId="0" fontId="3" fillId="0" borderId="0" xfId="0" applyFont="1" applyFill="1"/>
    <xf numFmtId="0" fontId="3" fillId="0" borderId="0" xfId="0" applyFont="1" applyFill="1" applyBorder="1" applyAlignment="1">
      <alignment horizontal="center"/>
    </xf>
    <xf numFmtId="0" fontId="0" fillId="0" borderId="0" xfId="0" applyFill="1" applyBorder="1" applyAlignment="1">
      <alignment horizontal="center"/>
    </xf>
    <xf numFmtId="164" fontId="3" fillId="0" borderId="0" xfId="2" quotePrefix="1" applyNumberFormat="1" applyFont="1" applyFill="1" applyBorder="1"/>
    <xf numFmtId="0" fontId="3" fillId="0" borderId="1" xfId="0" applyFont="1" applyFill="1" applyBorder="1"/>
    <xf numFmtId="0" fontId="3" fillId="0" borderId="0" xfId="0" applyFont="1" applyFill="1" applyAlignment="1">
      <alignment horizontal="center"/>
    </xf>
    <xf numFmtId="164" fontId="3" fillId="0" borderId="1" xfId="2" applyNumberFormat="1" applyFont="1" applyFill="1" applyBorder="1"/>
    <xf numFmtId="164" fontId="19" fillId="0" borderId="0" xfId="2" applyNumberFormat="1" applyFont="1" applyFill="1" applyBorder="1"/>
    <xf numFmtId="0" fontId="4" fillId="0" borderId="1" xfId="0" applyFont="1" applyFill="1" applyBorder="1"/>
    <xf numFmtId="10" fontId="16" fillId="0" borderId="0" xfId="3" applyNumberFormat="1" applyFont="1" applyFill="1"/>
    <xf numFmtId="0" fontId="1" fillId="0" borderId="0" xfId="0" applyFont="1" applyFill="1"/>
    <xf numFmtId="164" fontId="22" fillId="0" borderId="0" xfId="0" applyNumberFormat="1" applyFont="1" applyFill="1" applyBorder="1"/>
    <xf numFmtId="0" fontId="19" fillId="0" borderId="1" xfId="0" applyFont="1" applyFill="1" applyBorder="1"/>
    <xf numFmtId="0" fontId="19" fillId="0" borderId="0" xfId="0" applyFont="1" applyFill="1"/>
    <xf numFmtId="43" fontId="5" fillId="0" borderId="0" xfId="24" applyNumberFormat="1" applyFont="1"/>
    <xf numFmtId="0" fontId="0" fillId="0" borderId="0" xfId="0" applyAlignment="1">
      <alignment horizontal="center"/>
    </xf>
    <xf numFmtId="0" fontId="0" fillId="0" borderId="0" xfId="0" quotePrefix="1" applyAlignment="1">
      <alignment horizontal="center"/>
    </xf>
    <xf numFmtId="0" fontId="0" fillId="0" borderId="0" xfId="0" applyFill="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2" fillId="0" borderId="0" xfId="0" applyFont="1" applyFill="1" applyAlignment="1">
      <alignment horizontal="center"/>
    </xf>
    <xf numFmtId="37" fontId="5" fillId="0" borderId="0" xfId="4" applyAlignment="1">
      <alignment horizontal="center"/>
    </xf>
    <xf numFmtId="0" fontId="2" fillId="0" borderId="0" xfId="0" applyFont="1" applyAlignment="1">
      <alignment horizontal="center"/>
    </xf>
    <xf numFmtId="0" fontId="11" fillId="0" borderId="0" xfId="24" applyFont="1" applyFill="1" applyAlignment="1">
      <alignment horizontal="center"/>
    </xf>
  </cellXfs>
  <cellStyles count="122">
    <cellStyle name="20% - Accent1" xfId="44" builtinId="30" customBuiltin="1"/>
    <cellStyle name="20% - Accent1 2" xfId="89"/>
    <cellStyle name="20% - Accent2" xfId="48" builtinId="34" customBuiltin="1"/>
    <cellStyle name="20% - Accent2 2" xfId="83"/>
    <cellStyle name="20% - Accent3" xfId="52" builtinId="38" customBuiltin="1"/>
    <cellStyle name="20% - Accent3 2" xfId="93"/>
    <cellStyle name="20% - Accent4" xfId="56" builtinId="42" customBuiltin="1"/>
    <cellStyle name="20% - Accent4 2" xfId="110"/>
    <cellStyle name="20% - Accent5" xfId="60" builtinId="46" customBuiltin="1"/>
    <cellStyle name="20% - Accent5 2" xfId="114"/>
    <cellStyle name="20% - Accent6" xfId="64" builtinId="50" customBuiltin="1"/>
    <cellStyle name="20% - Accent6 2" xfId="118"/>
    <cellStyle name="40% - Accent1" xfId="45" builtinId="31" customBuiltin="1"/>
    <cellStyle name="40% - Accent1 2" xfId="99"/>
    <cellStyle name="40% - Accent2" xfId="49" builtinId="35" customBuiltin="1"/>
    <cellStyle name="40% - Accent2 2" xfId="106"/>
    <cellStyle name="40% - Accent3" xfId="53" builtinId="39" customBuiltin="1"/>
    <cellStyle name="40% - Accent3 2" xfId="107"/>
    <cellStyle name="40% - Accent4" xfId="57" builtinId="43" customBuiltin="1"/>
    <cellStyle name="40% - Accent4 2" xfId="111"/>
    <cellStyle name="40% - Accent5" xfId="61" builtinId="47" customBuiltin="1"/>
    <cellStyle name="40% - Accent5 2" xfId="115"/>
    <cellStyle name="40% - Accent6" xfId="65" builtinId="51" customBuiltin="1"/>
    <cellStyle name="40% - Accent6 2" xfId="119"/>
    <cellStyle name="60% - Accent1" xfId="46" builtinId="32" customBuiltin="1"/>
    <cellStyle name="60% - Accent1 2" xfId="103"/>
    <cellStyle name="60% - Accent2" xfId="50" builtinId="36" customBuiltin="1"/>
    <cellStyle name="60% - Accent2 2" xfId="86"/>
    <cellStyle name="60% - Accent3" xfId="54" builtinId="40" customBuiltin="1"/>
    <cellStyle name="60% - Accent3 2" xfId="108"/>
    <cellStyle name="60% - Accent4" xfId="58" builtinId="44" customBuiltin="1"/>
    <cellStyle name="60% - Accent4 2" xfId="112"/>
    <cellStyle name="60% - Accent5" xfId="62" builtinId="48" customBuiltin="1"/>
    <cellStyle name="60% - Accent5 2" xfId="116"/>
    <cellStyle name="60% - Accent6" xfId="66" builtinId="52" customBuiltin="1"/>
    <cellStyle name="60% - Accent6 2" xfId="120"/>
    <cellStyle name="Accent1" xfId="43" builtinId="29" customBuiltin="1"/>
    <cellStyle name="Accent1 2" xfId="100"/>
    <cellStyle name="Accent2" xfId="47" builtinId="33" customBuiltin="1"/>
    <cellStyle name="Accent2 2" xfId="101"/>
    <cellStyle name="Accent3" xfId="51" builtinId="37" customBuiltin="1"/>
    <cellStyle name="Accent3 2" xfId="90"/>
    <cellStyle name="Accent4" xfId="55" builtinId="41" customBuiltin="1"/>
    <cellStyle name="Accent4 2" xfId="109"/>
    <cellStyle name="Accent5" xfId="59" builtinId="45" customBuiltin="1"/>
    <cellStyle name="Accent5 2" xfId="113"/>
    <cellStyle name="Accent6" xfId="63" builtinId="49" customBuiltin="1"/>
    <cellStyle name="Accent6 2" xfId="117"/>
    <cellStyle name="Bad" xfId="32" builtinId="27" customBuiltin="1"/>
    <cellStyle name="Bad 2" xfId="95"/>
    <cellStyle name="BoldU" xfId="9"/>
    <cellStyle name="Calculation" xfId="36" builtinId="22" customBuiltin="1"/>
    <cellStyle name="Calculation 2" xfId="98"/>
    <cellStyle name="Check Cell" xfId="38" builtinId="23" customBuiltin="1"/>
    <cellStyle name="Check Cell 2" xfId="92"/>
    <cellStyle name="Comma" xfId="2" builtinId="3"/>
    <cellStyle name="Comma 2" xfId="7"/>
    <cellStyle name="Comma 3" xfId="25"/>
    <cellStyle name="Comma 3 2" xfId="76"/>
    <cellStyle name="Comma0" xfId="10"/>
    <cellStyle name="Comma0 2" xfId="11"/>
    <cellStyle name="Currency 2" xfId="12"/>
    <cellStyle name="Currency0" xfId="13"/>
    <cellStyle name="Currency0 2" xfId="14"/>
    <cellStyle name="Date" xfId="15"/>
    <cellStyle name="Date 2" xfId="16"/>
    <cellStyle name="Date 2 2" xfId="102"/>
    <cellStyle name="Date 3" xfId="77"/>
    <cellStyle name="Explanatory Text" xfId="41" builtinId="53" customBuiltin="1"/>
    <cellStyle name="Explanatory Text 2" xfId="104"/>
    <cellStyle name="Fixed" xfId="17"/>
    <cellStyle name="Fixed 2" xfId="18"/>
    <cellStyle name="Good" xfId="31" builtinId="26" customBuiltin="1"/>
    <cellStyle name="Good 2" xfId="91"/>
    <cellStyle name="Heading 1" xfId="27" builtinId="16" customBuiltin="1"/>
    <cellStyle name="Heading 1 2" xfId="19"/>
    <cellStyle name="Heading 1 2 2" xfId="79"/>
    <cellStyle name="Heading 1 3" xfId="82"/>
    <cellStyle name="Heading 2" xfId="28" builtinId="17" customBuiltin="1"/>
    <cellStyle name="Heading 2 2" xfId="20"/>
    <cellStyle name="Heading 2 2 2" xfId="74"/>
    <cellStyle name="Heading 2 3" xfId="72"/>
    <cellStyle name="Heading 3" xfId="29" builtinId="18" customBuiltin="1"/>
    <cellStyle name="Heading 3 2" xfId="68"/>
    <cellStyle name="Heading 4" xfId="30" builtinId="19" customBuiltin="1"/>
    <cellStyle name="Heading 4 2" xfId="84"/>
    <cellStyle name="Input" xfId="34" builtinId="20" customBuiltin="1"/>
    <cellStyle name="Input 2" xfId="105"/>
    <cellStyle name="Input(Normal)" xfId="21"/>
    <cellStyle name="Input(Normal) 2" xfId="81"/>
    <cellStyle name="Input0" xfId="22"/>
    <cellStyle name="Linked Cell" xfId="37" builtinId="24" customBuiltin="1"/>
    <cellStyle name="Linked Cell 2" xfId="97"/>
    <cellStyle name="Neutral" xfId="33" builtinId="28" customBuiltin="1"/>
    <cellStyle name="Neutral 2" xfId="94"/>
    <cellStyle name="Normal" xfId="0" builtinId="0"/>
    <cellStyle name="Normal 2" xfId="1"/>
    <cellStyle name="Normal 2 2" xfId="69"/>
    <cellStyle name="Normal 3" xfId="4"/>
    <cellStyle name="Normal 4" xfId="24"/>
    <cellStyle name="Normal 4 2" xfId="75"/>
    <cellStyle name="Normal 4 2 2" xfId="80"/>
    <cellStyle name="Normal 4 3" xfId="67"/>
    <cellStyle name="Normal 5" xfId="78"/>
    <cellStyle name="Normal 6" xfId="73"/>
    <cellStyle name="Normal 7" xfId="121"/>
    <cellStyle name="Normal_MVEC_TCOS" xfId="5"/>
    <cellStyle name="Normal_SubSummary" xfId="6"/>
    <cellStyle name="Note" xfId="40" builtinId="10" customBuiltin="1"/>
    <cellStyle name="Note 2" xfId="87"/>
    <cellStyle name="Output" xfId="35" builtinId="21" customBuiltin="1"/>
    <cellStyle name="Output 2" xfId="96"/>
    <cellStyle name="Percent" xfId="3" builtinId="5"/>
    <cellStyle name="Percent 2" xfId="8"/>
    <cellStyle name="Title" xfId="26" builtinId="15" customBuiltin="1"/>
    <cellStyle name="Title 2" xfId="70"/>
    <cellStyle name="Total" xfId="42" builtinId="25" customBuiltin="1"/>
    <cellStyle name="Total 2" xfId="23"/>
    <cellStyle name="Total 2 2" xfId="71"/>
    <cellStyle name="Total 3" xfId="88"/>
    <cellStyle name="Warning Text" xfId="39" builtinId="11" customBuiltin="1"/>
    <cellStyle name="Warning Text 2"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tabSelected="1" zoomScaleNormal="100" workbookViewId="0"/>
  </sheetViews>
  <sheetFormatPr defaultRowHeight="15" x14ac:dyDescent="0.25"/>
  <cols>
    <col min="1" max="1" width="3" customWidth="1"/>
    <col min="2" max="2" width="27.85546875" customWidth="1"/>
  </cols>
  <sheetData>
    <row r="6" spans="2:2" ht="36" x14ac:dyDescent="0.55000000000000004">
      <c r="B6" s="19" t="s">
        <v>171</v>
      </c>
    </row>
    <row r="11" spans="2:2" ht="23.25" x14ac:dyDescent="0.35">
      <c r="B11" s="18"/>
    </row>
    <row r="12" spans="2:2" ht="23.25" x14ac:dyDescent="0.35">
      <c r="B12" s="18"/>
    </row>
    <row r="13" spans="2:2" ht="23.25" x14ac:dyDescent="0.35">
      <c r="B13" s="18" t="s">
        <v>455</v>
      </c>
    </row>
    <row r="19" spans="2:2" ht="18.75" x14ac:dyDescent="0.3">
      <c r="B19" s="20">
        <v>42522</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heetViews>
  <sheetFormatPr defaultRowHeight="15" x14ac:dyDescent="0.25"/>
  <cols>
    <col min="1" max="1" width="4.42578125" customWidth="1"/>
    <col min="2" max="2" width="30.7109375" customWidth="1"/>
    <col min="3" max="3" width="26.85546875" customWidth="1"/>
    <col min="4" max="4" width="12.85546875" customWidth="1"/>
    <col min="5" max="5" width="12.5703125" bestFit="1" customWidth="1"/>
    <col min="6" max="6" width="3.85546875" customWidth="1"/>
    <col min="7" max="7" width="12.5703125" bestFit="1" customWidth="1"/>
    <col min="8" max="8" width="11.5703125" bestFit="1" customWidth="1"/>
    <col min="9" max="9" width="13.28515625" bestFit="1" customWidth="1"/>
    <col min="10" max="10" width="11.140625" customWidth="1"/>
    <col min="11" max="11" width="14.140625" bestFit="1" customWidth="1"/>
    <col min="12" max="12" width="10.7109375" customWidth="1"/>
  </cols>
  <sheetData>
    <row r="1" spans="1:11" x14ac:dyDescent="0.25">
      <c r="B1" s="186" t="s">
        <v>33</v>
      </c>
      <c r="C1" s="186"/>
      <c r="D1" s="186"/>
      <c r="E1" s="186"/>
      <c r="F1" s="186"/>
      <c r="G1" s="186"/>
      <c r="H1" s="186"/>
      <c r="I1" s="186"/>
      <c r="J1" s="186"/>
      <c r="K1" s="186"/>
    </row>
    <row r="2" spans="1:11" x14ac:dyDescent="0.25">
      <c r="B2" s="186" t="s">
        <v>230</v>
      </c>
      <c r="C2" s="186"/>
      <c r="D2" s="186"/>
      <c r="E2" s="186"/>
      <c r="F2" s="186"/>
      <c r="G2" s="186"/>
      <c r="H2" s="186"/>
      <c r="I2" s="186"/>
      <c r="J2" s="186"/>
      <c r="K2" s="186"/>
    </row>
    <row r="4" spans="1:11" x14ac:dyDescent="0.25">
      <c r="E4" s="48" t="s">
        <v>221</v>
      </c>
      <c r="F4" s="48"/>
      <c r="G4" s="48" t="s">
        <v>222</v>
      </c>
      <c r="H4" s="48" t="s">
        <v>223</v>
      </c>
      <c r="I4" s="48" t="s">
        <v>224</v>
      </c>
      <c r="J4" s="48" t="s">
        <v>225</v>
      </c>
      <c r="K4" s="48" t="s">
        <v>226</v>
      </c>
    </row>
    <row r="5" spans="1:11" x14ac:dyDescent="0.25">
      <c r="H5" s="186" t="s">
        <v>219</v>
      </c>
      <c r="I5" s="186"/>
      <c r="J5" s="186"/>
      <c r="K5" s="186"/>
    </row>
    <row r="6" spans="1:11" x14ac:dyDescent="0.25">
      <c r="H6" s="187" t="s">
        <v>271</v>
      </c>
      <c r="I6" s="187"/>
      <c r="J6" s="187"/>
      <c r="K6" s="187"/>
    </row>
    <row r="7" spans="1:11" x14ac:dyDescent="0.25">
      <c r="E7" s="38" t="s">
        <v>1</v>
      </c>
      <c r="F7" s="38"/>
      <c r="G7" s="38"/>
      <c r="H7" s="38" t="s">
        <v>1</v>
      </c>
      <c r="I7" s="38"/>
      <c r="J7" s="38"/>
      <c r="K7" s="38"/>
    </row>
    <row r="8" spans="1:11" x14ac:dyDescent="0.25">
      <c r="C8" t="s">
        <v>279</v>
      </c>
      <c r="E8" s="38" t="s">
        <v>30</v>
      </c>
      <c r="F8" s="38"/>
      <c r="G8" s="38" t="s">
        <v>113</v>
      </c>
      <c r="H8" s="38" t="s">
        <v>32</v>
      </c>
      <c r="I8" s="38" t="s">
        <v>28</v>
      </c>
      <c r="J8" s="38" t="s">
        <v>25</v>
      </c>
      <c r="K8" s="38" t="s">
        <v>42</v>
      </c>
    </row>
    <row r="9" spans="1:11" x14ac:dyDescent="0.25">
      <c r="C9" s="15" t="s">
        <v>280</v>
      </c>
      <c r="E9" s="40" t="s">
        <v>111</v>
      </c>
      <c r="F9" s="40"/>
      <c r="G9" s="40" t="s">
        <v>111</v>
      </c>
      <c r="H9" s="40" t="s">
        <v>111</v>
      </c>
      <c r="I9" s="40" t="s">
        <v>111</v>
      </c>
      <c r="J9" s="40" t="s">
        <v>111</v>
      </c>
      <c r="K9" s="40" t="s">
        <v>111</v>
      </c>
    </row>
    <row r="11" spans="1:11" x14ac:dyDescent="0.25">
      <c r="A11">
        <v>1</v>
      </c>
      <c r="B11" t="s">
        <v>232</v>
      </c>
      <c r="C11" t="s">
        <v>282</v>
      </c>
      <c r="D11" s="38" t="s">
        <v>272</v>
      </c>
      <c r="E11" s="1">
        <f>+Form1Exp!E12</f>
        <v>18126616</v>
      </c>
      <c r="F11" s="1"/>
      <c r="G11" s="1">
        <f>+Form1Exp!G12</f>
        <v>18126616</v>
      </c>
      <c r="H11" s="1">
        <f>+Form1Exp!H12</f>
        <v>0</v>
      </c>
      <c r="I11" s="1">
        <f>+Form1Exp!I12</f>
        <v>0</v>
      </c>
      <c r="J11" s="1">
        <f>+Form1Exp!J12</f>
        <v>0</v>
      </c>
      <c r="K11" s="1">
        <f>+Form1Exp!K12</f>
        <v>0</v>
      </c>
    </row>
    <row r="12" spans="1:11" x14ac:dyDescent="0.25">
      <c r="A12">
        <f>+A11+1</f>
        <v>2</v>
      </c>
      <c r="B12" t="s">
        <v>231</v>
      </c>
      <c r="C12" t="s">
        <v>283</v>
      </c>
      <c r="D12" s="38" t="s">
        <v>272</v>
      </c>
      <c r="E12" s="1">
        <f>+Form1Exp!E19</f>
        <v>154238626</v>
      </c>
      <c r="F12" s="1"/>
      <c r="G12" s="1">
        <f>+Form1Exp!G19</f>
        <v>154142143.1230284</v>
      </c>
      <c r="H12" s="1">
        <f>+Form1Exp!H19</f>
        <v>96482.876971608843</v>
      </c>
      <c r="I12" s="1">
        <f>+Form1Exp!I19</f>
        <v>10337.451104100946</v>
      </c>
      <c r="J12" s="1">
        <f>+Form1Exp!J19</f>
        <v>3445.8170347003152</v>
      </c>
      <c r="K12" s="1">
        <f>+Form1Exp!K19</f>
        <v>31012.353312302839</v>
      </c>
    </row>
    <row r="13" spans="1:11" x14ac:dyDescent="0.25">
      <c r="A13">
        <f t="shared" ref="A13:A33" si="0">+A12+1</f>
        <v>3</v>
      </c>
      <c r="B13" t="s">
        <v>233</v>
      </c>
      <c r="C13" t="s">
        <v>410</v>
      </c>
      <c r="D13" s="38" t="s">
        <v>272</v>
      </c>
      <c r="E13" s="1">
        <f>+Form1Exp!E34</f>
        <v>52834324</v>
      </c>
      <c r="F13" s="1"/>
      <c r="G13" s="1">
        <f>+Form1Exp!G34</f>
        <v>52733580.346629411</v>
      </c>
      <c r="H13" s="1">
        <f>+Form1Exp!H34</f>
        <v>100743.65337058996</v>
      </c>
      <c r="I13" s="1">
        <f>+Form1Exp!I34</f>
        <v>4700.9011294473203</v>
      </c>
      <c r="J13" s="1">
        <f>+Form1Exp!J34</f>
        <v>0</v>
      </c>
      <c r="K13" s="1">
        <f>+Form1Exp!K34</f>
        <v>96042.752241142647</v>
      </c>
    </row>
    <row r="14" spans="1:11" x14ac:dyDescent="0.25">
      <c r="A14">
        <f t="shared" si="0"/>
        <v>4</v>
      </c>
      <c r="B14" t="s">
        <v>234</v>
      </c>
      <c r="C14" t="s">
        <v>284</v>
      </c>
      <c r="D14" s="38" t="s">
        <v>272</v>
      </c>
      <c r="E14" s="1">
        <f>+Form1Exp!E38</f>
        <v>38294</v>
      </c>
      <c r="F14" s="1"/>
      <c r="G14" s="1">
        <f>+Form1Exp!G38</f>
        <v>31529.129337539431</v>
      </c>
      <c r="H14" s="1">
        <f>+Form1Exp!H38</f>
        <v>6764.8706624605684</v>
      </c>
      <c r="I14" s="1">
        <f>+Form1Exp!I38</f>
        <v>724.80757097791798</v>
      </c>
      <c r="J14" s="1">
        <f>+Form1Exp!J38</f>
        <v>241.60252365930597</v>
      </c>
      <c r="K14" s="1">
        <f>+Form1Exp!K38</f>
        <v>2174.4227129337542</v>
      </c>
    </row>
    <row r="15" spans="1:11" x14ac:dyDescent="0.25">
      <c r="A15">
        <f t="shared" si="0"/>
        <v>5</v>
      </c>
      <c r="B15" t="s">
        <v>63</v>
      </c>
      <c r="C15" t="s">
        <v>285</v>
      </c>
      <c r="D15" s="38" t="s">
        <v>272</v>
      </c>
      <c r="E15" s="1">
        <f>+Form1Exp!E42</f>
        <v>0</v>
      </c>
      <c r="F15" s="1"/>
      <c r="G15" s="1">
        <f>+Form1Exp!G42</f>
        <v>0</v>
      </c>
      <c r="H15" s="1">
        <f>+Form1Exp!H42</f>
        <v>0</v>
      </c>
      <c r="I15" s="1">
        <f>+Form1Exp!I42</f>
        <v>0</v>
      </c>
      <c r="J15" s="1">
        <f>+Form1Exp!J42</f>
        <v>0</v>
      </c>
      <c r="K15" s="1">
        <f>+Form1Exp!K42</f>
        <v>0</v>
      </c>
    </row>
    <row r="16" spans="1:11" x14ac:dyDescent="0.25">
      <c r="A16">
        <f t="shared" si="0"/>
        <v>6</v>
      </c>
      <c r="B16" t="s">
        <v>235</v>
      </c>
      <c r="C16" t="s">
        <v>286</v>
      </c>
      <c r="D16" s="38" t="s">
        <v>272</v>
      </c>
      <c r="E16" s="1">
        <f>+Form1Exp!E55</f>
        <v>27669245</v>
      </c>
      <c r="F16" s="1"/>
      <c r="G16" s="1">
        <f>+Form1Exp!G55</f>
        <v>27532526.77617896</v>
      </c>
      <c r="H16" s="1">
        <f>+Form1Exp!H55</f>
        <v>136718.22382104149</v>
      </c>
      <c r="I16" s="1">
        <f>+Form1Exp!I55</f>
        <v>3335.4825433345272</v>
      </c>
      <c r="J16" s="1">
        <f>+Form1Exp!J55</f>
        <v>2776.2821830497132</v>
      </c>
      <c r="K16" s="1">
        <f>+Form1Exp!K55</f>
        <v>130606.45909465724</v>
      </c>
    </row>
    <row r="17" spans="1:11" x14ac:dyDescent="0.25">
      <c r="A17">
        <f t="shared" si="0"/>
        <v>7</v>
      </c>
      <c r="B17" t="s">
        <v>2</v>
      </c>
      <c r="C17" t="s">
        <v>287</v>
      </c>
      <c r="D17" s="38" t="s">
        <v>272</v>
      </c>
      <c r="E17" s="1">
        <f>+Form1Exp!E64</f>
        <v>16711404</v>
      </c>
      <c r="F17" s="1"/>
      <c r="G17" s="3">
        <f>+Form1Exp!G64</f>
        <v>15997495.088634577</v>
      </c>
      <c r="H17" s="3">
        <f>+Form1Exp!H64</f>
        <v>713908.91136542254</v>
      </c>
      <c r="I17" s="3">
        <f>+Form1Exp!I64</f>
        <v>98094.307798580179</v>
      </c>
      <c r="J17" s="3">
        <f>+Form1Exp!J64</f>
        <v>351033.29344130709</v>
      </c>
      <c r="K17" s="3">
        <f>+Form1Exp!K64</f>
        <v>234473.07668704944</v>
      </c>
    </row>
    <row r="18" spans="1:11" x14ac:dyDescent="0.25">
      <c r="A18">
        <f t="shared" si="0"/>
        <v>8</v>
      </c>
      <c r="B18" t="s">
        <v>236</v>
      </c>
      <c r="C18" t="s">
        <v>288</v>
      </c>
      <c r="D18" s="38" t="s">
        <v>272</v>
      </c>
      <c r="E18" s="1">
        <f>+Form1Exp!E69</f>
        <v>5888268</v>
      </c>
      <c r="F18" s="1"/>
      <c r="G18" s="1">
        <f>+Form1Exp!G69</f>
        <v>5816600.5823608497</v>
      </c>
      <c r="H18" s="1">
        <f>+Form1Exp!H69</f>
        <v>71667.417639150182</v>
      </c>
      <c r="I18" s="1">
        <f>+Form1Exp!I69</f>
        <v>45532.828885883479</v>
      </c>
      <c r="J18" s="1">
        <f>+Form1Exp!J69</f>
        <v>2861.1450193707296</v>
      </c>
      <c r="K18" s="1">
        <f>+Form1Exp!K69</f>
        <v>23273.44373389598</v>
      </c>
    </row>
    <row r="19" spans="1:11" x14ac:dyDescent="0.25">
      <c r="A19">
        <f t="shared" si="0"/>
        <v>9</v>
      </c>
      <c r="B19" t="s">
        <v>191</v>
      </c>
      <c r="C19" t="s">
        <v>408</v>
      </c>
      <c r="D19" s="38" t="s">
        <v>272</v>
      </c>
      <c r="E19" s="1">
        <f>+Form1Exp!E76</f>
        <v>28714370</v>
      </c>
      <c r="F19" s="1"/>
      <c r="G19" s="1">
        <f>+Form1Exp!G76</f>
        <v>27975501.991057701</v>
      </c>
      <c r="H19" s="1">
        <f>+Form1Exp!H76</f>
        <v>738868.00894229929</v>
      </c>
      <c r="I19" s="1">
        <f>+Form1Exp!I76</f>
        <v>128290.70433100047</v>
      </c>
      <c r="J19" s="1">
        <f>+Form1Exp!J76</f>
        <v>465096.09000919084</v>
      </c>
      <c r="K19" s="1">
        <f>+Form1Exp!K76</f>
        <v>145481.21460210794</v>
      </c>
    </row>
    <row r="20" spans="1:11" x14ac:dyDescent="0.25">
      <c r="A20">
        <f t="shared" si="0"/>
        <v>10</v>
      </c>
      <c r="B20" t="s">
        <v>237</v>
      </c>
      <c r="C20" t="s">
        <v>289</v>
      </c>
      <c r="D20" s="38" t="s">
        <v>272</v>
      </c>
      <c r="E20" s="1">
        <f>-Form1Exp!E79</f>
        <v>-8729788</v>
      </c>
      <c r="F20" s="1"/>
      <c r="G20" s="1">
        <f>-Form1Exp!G79</f>
        <v>-8729788</v>
      </c>
      <c r="H20" s="1">
        <f>-Form1Exp!H79</f>
        <v>0</v>
      </c>
      <c r="I20" s="1">
        <f>-Form1Exp!I79</f>
        <v>0</v>
      </c>
      <c r="J20" s="1">
        <f>-Form1Exp!J79</f>
        <v>0</v>
      </c>
      <c r="K20" s="1">
        <f>-Form1Exp!K79</f>
        <v>0</v>
      </c>
    </row>
    <row r="21" spans="1:11" x14ac:dyDescent="0.25">
      <c r="A21">
        <f t="shared" si="0"/>
        <v>11</v>
      </c>
      <c r="B21" t="s">
        <v>194</v>
      </c>
      <c r="C21" t="s">
        <v>290</v>
      </c>
      <c r="D21" s="38" t="s">
        <v>272</v>
      </c>
      <c r="E21" s="1">
        <f>SUM(E11:E20)</f>
        <v>295491359</v>
      </c>
      <c r="F21" s="1"/>
      <c r="G21" s="1">
        <f>SUM(G11:G20)</f>
        <v>293626205.03722745</v>
      </c>
      <c r="H21" s="1">
        <f>SUM(H11:H20)</f>
        <v>1865153.9627725731</v>
      </c>
      <c r="I21" s="1">
        <f>SUM(I11:I20)</f>
        <v>291016.48336332483</v>
      </c>
      <c r="J21" s="1">
        <f>SUM(J11:J20)</f>
        <v>825454.23021127796</v>
      </c>
      <c r="K21" s="1">
        <f>SUM(K11:K20)</f>
        <v>663063.72238408984</v>
      </c>
    </row>
    <row r="22" spans="1:11" x14ac:dyDescent="0.25">
      <c r="A22">
        <f t="shared" si="0"/>
        <v>12</v>
      </c>
      <c r="B22" t="s">
        <v>20</v>
      </c>
      <c r="C22" t="s">
        <v>409</v>
      </c>
      <c r="D22" s="38" t="s">
        <v>272</v>
      </c>
      <c r="H22" s="4">
        <f>+Margin!K17</f>
        <v>688823.76019356679</v>
      </c>
      <c r="I22" s="4">
        <f>+Margin!H15</f>
        <v>6491.032368819011</v>
      </c>
      <c r="J22" s="4">
        <f>+Margin!I15</f>
        <v>576608.98662660131</v>
      </c>
      <c r="K22" s="4">
        <f>+Margin!J15</f>
        <v>105723.74119814645</v>
      </c>
    </row>
    <row r="23" spans="1:11" x14ac:dyDescent="0.25">
      <c r="A23">
        <f t="shared" si="0"/>
        <v>13</v>
      </c>
      <c r="B23" t="s">
        <v>21</v>
      </c>
      <c r="C23" t="s">
        <v>291</v>
      </c>
      <c r="D23" s="38" t="s">
        <v>272</v>
      </c>
      <c r="H23" s="4">
        <f>SUM(H21:H22)</f>
        <v>2553977.7229661401</v>
      </c>
      <c r="I23" s="4">
        <f>SUM(I21:I22)</f>
        <v>297507.51573214383</v>
      </c>
      <c r="J23" s="4">
        <f>SUM(J21:J22)</f>
        <v>1402063.2168378793</v>
      </c>
      <c r="K23" s="4">
        <f>SUM(K21:K22)</f>
        <v>768787.46358223632</v>
      </c>
    </row>
    <row r="24" spans="1:11" x14ac:dyDescent="0.25">
      <c r="A24">
        <f t="shared" si="0"/>
        <v>14</v>
      </c>
      <c r="D24" s="38"/>
    </row>
    <row r="25" spans="1:11" x14ac:dyDescent="0.25">
      <c r="A25">
        <f t="shared" si="0"/>
        <v>15</v>
      </c>
      <c r="B25" t="s">
        <v>22</v>
      </c>
      <c r="C25" t="s">
        <v>412</v>
      </c>
      <c r="D25" s="38" t="s">
        <v>240</v>
      </c>
      <c r="H25" s="1">
        <f>+Usage!R61</f>
        <v>2397210</v>
      </c>
      <c r="I25" s="1">
        <f>+Usage!R13</f>
        <v>157230</v>
      </c>
      <c r="J25" s="1">
        <f>+Usage!R32</f>
        <v>316510</v>
      </c>
      <c r="K25" s="1">
        <f>+Usage!R59</f>
        <v>1923470</v>
      </c>
    </row>
    <row r="26" spans="1:11" x14ac:dyDescent="0.25">
      <c r="A26">
        <f t="shared" si="0"/>
        <v>16</v>
      </c>
      <c r="D26" s="46"/>
      <c r="H26" s="1"/>
      <c r="I26" s="1"/>
      <c r="J26" s="1"/>
      <c r="K26" s="1"/>
    </row>
    <row r="27" spans="1:11" x14ac:dyDescent="0.25">
      <c r="A27">
        <f t="shared" si="0"/>
        <v>17</v>
      </c>
      <c r="D27" s="48"/>
      <c r="H27" s="1"/>
      <c r="I27" s="1"/>
      <c r="J27" s="1"/>
      <c r="K27" s="1"/>
    </row>
    <row r="28" spans="1:11" x14ac:dyDescent="0.25">
      <c r="A28">
        <f t="shared" si="0"/>
        <v>18</v>
      </c>
      <c r="B28" s="5" t="s">
        <v>238</v>
      </c>
      <c r="C28" s="6"/>
      <c r="D28" s="46"/>
      <c r="H28" s="1"/>
      <c r="I28" s="1"/>
      <c r="J28" s="1"/>
      <c r="K28" s="1"/>
    </row>
    <row r="29" spans="1:11" x14ac:dyDescent="0.25">
      <c r="A29">
        <f t="shared" si="0"/>
        <v>19</v>
      </c>
      <c r="B29" s="7" t="s">
        <v>274</v>
      </c>
      <c r="C29" s="7" t="s">
        <v>411</v>
      </c>
      <c r="D29" s="46" t="s">
        <v>292</v>
      </c>
      <c r="H29" s="16">
        <f>IFERROR(+H30*12,0)</f>
        <v>12.784750887737697</v>
      </c>
      <c r="I29" s="16">
        <f>IFERROR(+I30*12,0)</f>
        <v>22.706164146700541</v>
      </c>
      <c r="J29" s="16">
        <f>IFERROR(+J30*12,0)</f>
        <v>53.157115421486054</v>
      </c>
      <c r="K29" s="16">
        <f>IFERROR(+K30*12,0)</f>
        <v>4.7962534185544019</v>
      </c>
    </row>
    <row r="30" spans="1:11" x14ac:dyDescent="0.25">
      <c r="A30">
        <f t="shared" si="0"/>
        <v>20</v>
      </c>
      <c r="B30" t="s">
        <v>275</v>
      </c>
      <c r="C30" t="s">
        <v>281</v>
      </c>
      <c r="D30" s="38" t="s">
        <v>239</v>
      </c>
      <c r="H30" s="16">
        <f>IFERROR(+H23/H25,0)</f>
        <v>1.0653959073114747</v>
      </c>
      <c r="I30" s="16">
        <f>IFERROR(+I23/I25,0)</f>
        <v>1.8921803455583783</v>
      </c>
      <c r="J30" s="16">
        <f>IFERROR(+J23/J25,0)</f>
        <v>4.4297596184571715</v>
      </c>
      <c r="K30" s="16">
        <f>IFERROR(+K23/K25,0)</f>
        <v>0.39968778487953349</v>
      </c>
    </row>
    <row r="31" spans="1:11" x14ac:dyDescent="0.25">
      <c r="A31">
        <f t="shared" si="0"/>
        <v>21</v>
      </c>
      <c r="B31" t="s">
        <v>276</v>
      </c>
      <c r="C31" t="s">
        <v>413</v>
      </c>
      <c r="D31" s="46" t="s">
        <v>293</v>
      </c>
      <c r="H31" s="47">
        <f>+H29/52</f>
        <v>0.24586059399495572</v>
      </c>
      <c r="I31" s="47">
        <f>+I29/52</f>
        <v>0.43665700282116426</v>
      </c>
      <c r="J31" s="47">
        <f>+J29/52</f>
        <v>1.0222522196439625</v>
      </c>
      <c r="K31" s="47">
        <f>+K29/52</f>
        <v>9.2235642664507733E-2</v>
      </c>
    </row>
    <row r="32" spans="1:11" x14ac:dyDescent="0.25">
      <c r="A32">
        <f t="shared" si="0"/>
        <v>22</v>
      </c>
      <c r="B32" t="s">
        <v>277</v>
      </c>
      <c r="C32" t="s">
        <v>414</v>
      </c>
      <c r="D32" s="46" t="s">
        <v>294</v>
      </c>
      <c r="H32" s="47">
        <f>+H31/5</f>
        <v>4.9172118798991145E-2</v>
      </c>
      <c r="I32" s="47">
        <f t="shared" ref="I32:K32" si="1">+I31/5</f>
        <v>8.7331400564232858E-2</v>
      </c>
      <c r="J32" s="47">
        <f t="shared" si="1"/>
        <v>0.2044504439287925</v>
      </c>
      <c r="K32" s="47">
        <f t="shared" si="1"/>
        <v>1.8447128532901546E-2</v>
      </c>
    </row>
    <row r="33" spans="1:11" x14ac:dyDescent="0.25">
      <c r="A33">
        <f t="shared" si="0"/>
        <v>23</v>
      </c>
      <c r="B33" t="s">
        <v>278</v>
      </c>
      <c r="C33" t="s">
        <v>415</v>
      </c>
      <c r="D33" s="46" t="s">
        <v>295</v>
      </c>
      <c r="H33" s="47">
        <f>+H32/16</f>
        <v>3.0732574249369466E-3</v>
      </c>
      <c r="I33" s="47">
        <f>+I32/16</f>
        <v>5.4582125352645536E-3</v>
      </c>
      <c r="J33" s="47">
        <f>+J32/16</f>
        <v>1.2778152745549531E-2</v>
      </c>
      <c r="K33" s="47">
        <f>+K32/16</f>
        <v>1.1529455333063466E-3</v>
      </c>
    </row>
    <row r="36" spans="1:11" x14ac:dyDescent="0.25">
      <c r="G36" s="92"/>
      <c r="H36" s="92"/>
      <c r="I36" s="92"/>
      <c r="J36" s="92"/>
      <c r="K36" s="92"/>
    </row>
    <row r="37" spans="1:11" x14ac:dyDescent="0.25">
      <c r="G37" s="92"/>
      <c r="H37" s="92"/>
      <c r="I37" s="92"/>
      <c r="J37" s="92"/>
      <c r="K37" s="92"/>
    </row>
    <row r="38" spans="1:11" x14ac:dyDescent="0.25">
      <c r="G38" s="4"/>
      <c r="H38" s="4"/>
      <c r="I38" s="4"/>
      <c r="J38" s="4"/>
      <c r="K38" s="4"/>
    </row>
    <row r="41" spans="1:11" x14ac:dyDescent="0.25">
      <c r="G41" s="92"/>
      <c r="H41" s="92"/>
      <c r="I41" s="92"/>
      <c r="J41" s="92"/>
      <c r="K41" s="92"/>
    </row>
    <row r="42" spans="1:11" x14ac:dyDescent="0.25">
      <c r="G42" s="92"/>
      <c r="H42" s="92"/>
      <c r="I42" s="92"/>
      <c r="J42" s="92"/>
      <c r="K42" s="92"/>
    </row>
    <row r="43" spans="1:11" x14ac:dyDescent="0.25">
      <c r="G43" s="4"/>
      <c r="H43" s="4"/>
      <c r="I43" s="4"/>
      <c r="J43" s="4"/>
      <c r="K43" s="4"/>
    </row>
  </sheetData>
  <mergeCells count="4">
    <mergeCell ref="H5:K5"/>
    <mergeCell ref="H6:K6"/>
    <mergeCell ref="B1:K1"/>
    <mergeCell ref="B2:K2"/>
  </mergeCells>
  <pageMargins left="0.7" right="0.7" top="0.75" bottom="0.75" header="0.3" footer="0.3"/>
  <pageSetup scale="77" orientation="landscape" r:id="rId1"/>
  <headerFooter>
    <oddHeader>&amp;RSchedule A1.0</oddHeader>
    <oddFooter>&amp;L&amp;Z&amp;F&amp;R&amp;D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1"/>
  <sheetViews>
    <sheetView zoomScaleNormal="100" workbookViewId="0"/>
  </sheetViews>
  <sheetFormatPr defaultRowHeight="15" x14ac:dyDescent="0.25"/>
  <cols>
    <col min="1" max="1" width="5.28515625" customWidth="1"/>
    <col min="2" max="2" width="7" customWidth="1"/>
    <col min="3" max="3" width="31.28515625" customWidth="1"/>
    <col min="4" max="4" width="11.28515625" customWidth="1"/>
    <col min="5" max="5" width="2.140625" customWidth="1"/>
    <col min="6" max="6" width="14.28515625" bestFit="1" customWidth="1"/>
    <col min="7" max="7" width="17" customWidth="1"/>
    <col min="8" max="8" width="13.28515625" bestFit="1" customWidth="1"/>
    <col min="9" max="9" width="12.5703125" bestFit="1" customWidth="1"/>
    <col min="10" max="10" width="13.28515625" bestFit="1" customWidth="1"/>
    <col min="11" max="11" width="11.5703125" bestFit="1" customWidth="1"/>
    <col min="12" max="12" width="10.5703125" bestFit="1" customWidth="1"/>
    <col min="13" max="13" width="2" customWidth="1"/>
  </cols>
  <sheetData>
    <row r="1" spans="1:12" x14ac:dyDescent="0.25">
      <c r="B1" s="186" t="s">
        <v>33</v>
      </c>
      <c r="C1" s="186"/>
      <c r="D1" s="186"/>
      <c r="E1" s="186"/>
      <c r="F1" s="186"/>
      <c r="G1" s="186"/>
      <c r="H1" s="186"/>
      <c r="I1" s="186"/>
      <c r="J1" s="186"/>
      <c r="K1" s="186"/>
      <c r="L1" s="186"/>
    </row>
    <row r="2" spans="1:12" x14ac:dyDescent="0.25">
      <c r="A2" s="186" t="s">
        <v>456</v>
      </c>
      <c r="B2" s="186"/>
      <c r="C2" s="186"/>
      <c r="D2" s="186"/>
      <c r="E2" s="186"/>
      <c r="F2" s="186"/>
      <c r="G2" s="186"/>
      <c r="H2" s="186"/>
      <c r="I2" s="186"/>
      <c r="J2" s="186"/>
      <c r="K2" s="186"/>
      <c r="L2" s="186"/>
    </row>
    <row r="4" spans="1:12" x14ac:dyDescent="0.25">
      <c r="B4" s="65" t="s">
        <v>421</v>
      </c>
      <c r="E4" s="37"/>
      <c r="F4" s="64" t="s">
        <v>221</v>
      </c>
      <c r="G4" s="64" t="s">
        <v>222</v>
      </c>
      <c r="H4" s="64" t="s">
        <v>406</v>
      </c>
      <c r="I4" s="64" t="s">
        <v>224</v>
      </c>
      <c r="J4" s="64" t="s">
        <v>225</v>
      </c>
      <c r="K4" s="64" t="s">
        <v>226</v>
      </c>
      <c r="L4" s="64" t="s">
        <v>227</v>
      </c>
    </row>
    <row r="5" spans="1:12" x14ac:dyDescent="0.25">
      <c r="I5" s="186" t="s">
        <v>219</v>
      </c>
      <c r="J5" s="186"/>
      <c r="K5" s="186"/>
      <c r="L5" s="186"/>
    </row>
    <row r="6" spans="1:12" x14ac:dyDescent="0.25">
      <c r="I6" s="187" t="s">
        <v>220</v>
      </c>
      <c r="J6" s="187"/>
      <c r="K6" s="187"/>
      <c r="L6" s="187"/>
    </row>
    <row r="7" spans="1:12" x14ac:dyDescent="0.25">
      <c r="F7" s="64" t="s">
        <v>1</v>
      </c>
      <c r="G7" s="25" t="s">
        <v>181</v>
      </c>
      <c r="H7" s="25" t="s">
        <v>113</v>
      </c>
      <c r="I7" s="25" t="s">
        <v>196</v>
      </c>
      <c r="J7" s="25" t="s">
        <v>28</v>
      </c>
      <c r="K7" s="25" t="s">
        <v>25</v>
      </c>
      <c r="L7" s="25" t="s">
        <v>24</v>
      </c>
    </row>
    <row r="8" spans="1:12" x14ac:dyDescent="0.25">
      <c r="F8" s="26" t="s">
        <v>187</v>
      </c>
      <c r="G8" s="33" t="s">
        <v>31</v>
      </c>
      <c r="H8" s="40" t="s">
        <v>127</v>
      </c>
      <c r="I8" s="34" t="s">
        <v>127</v>
      </c>
      <c r="J8" s="34" t="s">
        <v>127</v>
      </c>
      <c r="K8" s="34" t="s">
        <v>127</v>
      </c>
      <c r="L8" s="34" t="s">
        <v>127</v>
      </c>
    </row>
    <row r="9" spans="1:12" x14ac:dyDescent="0.25">
      <c r="A9" s="28">
        <v>1</v>
      </c>
      <c r="B9" s="5" t="s">
        <v>87</v>
      </c>
      <c r="C9" s="5"/>
      <c r="F9" s="27"/>
      <c r="G9" s="27"/>
      <c r="H9" s="40"/>
    </row>
    <row r="10" spans="1:12" x14ac:dyDescent="0.25">
      <c r="A10" s="28">
        <f>+A9+1</f>
        <v>2</v>
      </c>
      <c r="B10">
        <v>341</v>
      </c>
      <c r="C10" t="s">
        <v>35</v>
      </c>
      <c r="D10" t="s">
        <v>89</v>
      </c>
      <c r="F10" s="142">
        <v>85140462</v>
      </c>
      <c r="G10" s="38">
        <v>100</v>
      </c>
      <c r="H10" s="1">
        <f>VLOOKUP($G10,AF!$B$25:$I$31,4)*$F10</f>
        <v>85140462</v>
      </c>
      <c r="I10" s="1">
        <f>VLOOKUP($G10,AF!$B$25:$I$31,5)*$F10</f>
        <v>0</v>
      </c>
      <c r="J10" s="1">
        <f>VLOOKUP($G10,AF!$B$25:$I$31,6)*$F10</f>
        <v>0</v>
      </c>
      <c r="K10" s="1">
        <f>VLOOKUP($G10,AF!$B$25:$I$31,7)*$F10</f>
        <v>0</v>
      </c>
      <c r="L10" s="1">
        <f>VLOOKUP($G10,AF!$B$25:$I$31,8)*$F10</f>
        <v>0</v>
      </c>
    </row>
    <row r="11" spans="1:12" x14ac:dyDescent="0.25">
      <c r="A11" s="28">
        <f t="shared" ref="A11:A33" si="0">+A10+1</f>
        <v>3</v>
      </c>
      <c r="B11">
        <v>344</v>
      </c>
      <c r="C11" t="s">
        <v>88</v>
      </c>
      <c r="D11" t="s">
        <v>90</v>
      </c>
      <c r="F11" s="143">
        <v>217068026</v>
      </c>
      <c r="G11" s="38">
        <v>100</v>
      </c>
      <c r="H11" s="9">
        <f>VLOOKUP($G11,AF!$B$25:$I$31,4)*$F11</f>
        <v>217068026</v>
      </c>
      <c r="I11" s="9">
        <f>VLOOKUP($G11,AF!$B$25:$I$31,5)*$F11</f>
        <v>0</v>
      </c>
      <c r="J11" s="9">
        <f>VLOOKUP($G11,AF!$B$25:$I$31,6)*$F11</f>
        <v>0</v>
      </c>
      <c r="K11" s="9">
        <f>VLOOKUP($G11,AF!$B$25:$I$31,7)*$F11</f>
        <v>0</v>
      </c>
      <c r="L11" s="9">
        <f>VLOOKUP($G11,AF!$B$25:$I$31,8)*$F11</f>
        <v>0</v>
      </c>
    </row>
    <row r="12" spans="1:12" x14ac:dyDescent="0.25">
      <c r="A12" s="28">
        <f t="shared" si="0"/>
        <v>4</v>
      </c>
      <c r="C12" t="s">
        <v>1</v>
      </c>
      <c r="F12" s="31">
        <f>SUM(F10:F11)</f>
        <v>302208488</v>
      </c>
      <c r="G12" s="38"/>
      <c r="H12" s="4">
        <f>SUM(H10:H11)</f>
        <v>302208488</v>
      </c>
      <c r="I12" s="4">
        <f t="shared" ref="I12:L12" si="1">SUM(I10:I11)</f>
        <v>0</v>
      </c>
      <c r="J12" s="4">
        <f t="shared" si="1"/>
        <v>0</v>
      </c>
      <c r="K12" s="4">
        <f t="shared" si="1"/>
        <v>0</v>
      </c>
      <c r="L12" s="4">
        <f t="shared" si="1"/>
        <v>0</v>
      </c>
    </row>
    <row r="13" spans="1:12" x14ac:dyDescent="0.25">
      <c r="A13" s="28">
        <f t="shared" si="0"/>
        <v>5</v>
      </c>
      <c r="F13" s="2"/>
      <c r="G13" s="38"/>
    </row>
    <row r="14" spans="1:12" x14ac:dyDescent="0.25">
      <c r="A14" s="28">
        <f t="shared" si="0"/>
        <v>6</v>
      </c>
      <c r="B14" s="5" t="s">
        <v>91</v>
      </c>
      <c r="C14" s="5"/>
      <c r="F14" s="2"/>
      <c r="G14" s="38"/>
    </row>
    <row r="15" spans="1:12" x14ac:dyDescent="0.25">
      <c r="A15" s="28">
        <f t="shared" si="0"/>
        <v>7</v>
      </c>
      <c r="B15">
        <v>350</v>
      </c>
      <c r="C15" t="s">
        <v>34</v>
      </c>
      <c r="D15" t="s">
        <v>93</v>
      </c>
      <c r="F15" s="134">
        <v>232962</v>
      </c>
      <c r="G15" s="61" t="s">
        <v>370</v>
      </c>
      <c r="H15" s="44">
        <f>+F15-I15</f>
        <v>168091.89346236366</v>
      </c>
      <c r="I15" s="1">
        <f>+'TransPlnt '!K84</f>
        <v>64870.10653763634</v>
      </c>
      <c r="J15" s="1">
        <f>+'TransPlnt '!K11</f>
        <v>31863.602184126019</v>
      </c>
      <c r="K15" s="1">
        <f>+'TransPlnt '!K48</f>
        <v>0</v>
      </c>
      <c r="L15" s="1">
        <f>+'TransPlnt '!K60</f>
        <v>33006.504353510325</v>
      </c>
    </row>
    <row r="16" spans="1:12" x14ac:dyDescent="0.25">
      <c r="A16" s="28">
        <f t="shared" si="0"/>
        <v>8</v>
      </c>
      <c r="B16">
        <v>352</v>
      </c>
      <c r="C16" t="s">
        <v>35</v>
      </c>
      <c r="D16" t="s">
        <v>94</v>
      </c>
      <c r="F16" s="134">
        <v>0</v>
      </c>
      <c r="G16" s="61" t="s">
        <v>372</v>
      </c>
      <c r="H16" s="44">
        <f>+F16-I16</f>
        <v>0</v>
      </c>
      <c r="I16" s="1">
        <f>+'TransPlnt '!K85</f>
        <v>0</v>
      </c>
      <c r="J16" s="1">
        <f>+'TransPlnt '!K12</f>
        <v>0</v>
      </c>
      <c r="K16" s="1">
        <f>+'TransPlnt '!K49</f>
        <v>0</v>
      </c>
      <c r="L16" s="1">
        <f>+'TransPlnt '!K61</f>
        <v>0</v>
      </c>
    </row>
    <row r="17" spans="1:12" x14ac:dyDescent="0.25">
      <c r="A17" s="28">
        <f t="shared" si="0"/>
        <v>9</v>
      </c>
      <c r="B17">
        <v>353</v>
      </c>
      <c r="C17" t="s">
        <v>36</v>
      </c>
      <c r="D17" t="s">
        <v>416</v>
      </c>
      <c r="F17" s="134">
        <f>22387246-F18</f>
        <v>17055164</v>
      </c>
      <c r="G17" s="61" t="s">
        <v>371</v>
      </c>
      <c r="H17" s="44">
        <f t="shared" ref="H17" si="2">+F17-I17</f>
        <v>12577919.986093024</v>
      </c>
      <c r="I17" s="1">
        <f>+'TransPlnt '!K86</f>
        <v>4477244.0139069762</v>
      </c>
      <c r="J17" s="1">
        <f>+'TransPlnt '!K13</f>
        <v>122948.35528327592</v>
      </c>
      <c r="K17" s="1">
        <f>+'TransPlnt '!K50</f>
        <v>1253162.4785666966</v>
      </c>
      <c r="L17" s="1">
        <f>+'TransPlnt '!K62</f>
        <v>3101133.1800570036</v>
      </c>
    </row>
    <row r="18" spans="1:12" x14ac:dyDescent="0.25">
      <c r="A18" s="28">
        <f t="shared" si="0"/>
        <v>10</v>
      </c>
      <c r="B18">
        <v>353</v>
      </c>
      <c r="C18" t="s">
        <v>43</v>
      </c>
      <c r="F18" s="91">
        <f>+'TransPlnt '!E87</f>
        <v>5332082</v>
      </c>
      <c r="G18" s="38">
        <v>101</v>
      </c>
      <c r="H18" s="107">
        <f>VLOOKUP($G18,AF!$B$25:$I$31,4)*$F18</f>
        <v>4390136.9148264984</v>
      </c>
      <c r="I18" s="1">
        <f>VLOOKUP($G18,AF!$B$25:$I$31,5)*$F18</f>
        <v>941945.08517350163</v>
      </c>
      <c r="J18" s="1">
        <f>VLOOKUP($G18,AF!$B$25:$I$31,6)*$F18</f>
        <v>100922.68769716089</v>
      </c>
      <c r="K18" s="1">
        <f>VLOOKUP($G18,AF!$B$25:$I$31,7)*$F18</f>
        <v>33640.895899053627</v>
      </c>
      <c r="L18" s="1">
        <f>VLOOKUP($G18,AF!$B$25:$I$31,8)*$F18</f>
        <v>302768.06309148268</v>
      </c>
    </row>
    <row r="19" spans="1:12" x14ac:dyDescent="0.25">
      <c r="A19" s="28">
        <f t="shared" si="0"/>
        <v>11</v>
      </c>
      <c r="B19">
        <v>355</v>
      </c>
      <c r="C19" t="s">
        <v>37</v>
      </c>
      <c r="D19" t="s">
        <v>95</v>
      </c>
      <c r="F19" s="134">
        <v>18102646</v>
      </c>
      <c r="G19" s="61" t="s">
        <v>373</v>
      </c>
      <c r="H19" s="44">
        <f t="shared" ref="H19:H21" si="3">+F19-I19</f>
        <v>2688074</v>
      </c>
      <c r="I19" s="1">
        <f>+'TransPlnt '!K88</f>
        <v>15414572</v>
      </c>
      <c r="J19" s="1">
        <f>+'TransPlnt '!K15</f>
        <v>1477816</v>
      </c>
      <c r="K19" s="1">
        <f>+'TransPlnt '!K52</f>
        <v>11353605</v>
      </c>
      <c r="L19" s="1">
        <f>+'TransPlnt '!K64</f>
        <v>2583151</v>
      </c>
    </row>
    <row r="20" spans="1:12" x14ac:dyDescent="0.25">
      <c r="A20" s="28">
        <f t="shared" si="0"/>
        <v>12</v>
      </c>
      <c r="B20">
        <v>356</v>
      </c>
      <c r="C20" t="s">
        <v>422</v>
      </c>
      <c r="D20" t="s">
        <v>96</v>
      </c>
      <c r="F20" s="134">
        <v>6575932</v>
      </c>
      <c r="G20" s="61" t="s">
        <v>374</v>
      </c>
      <c r="H20" s="44">
        <f t="shared" si="3"/>
        <v>2324962</v>
      </c>
      <c r="I20" s="1">
        <f>+'TransPlnt '!K89</f>
        <v>4250970</v>
      </c>
      <c r="J20" s="1">
        <f>+'TransPlnt '!K16</f>
        <v>1664036</v>
      </c>
      <c r="K20" s="1">
        <f>+'TransPlnt '!K53</f>
        <v>0</v>
      </c>
      <c r="L20" s="1">
        <f>+'TransPlnt '!K65</f>
        <v>2586934</v>
      </c>
    </row>
    <row r="21" spans="1:12" x14ac:dyDescent="0.25">
      <c r="A21" s="28">
        <f t="shared" si="0"/>
        <v>13</v>
      </c>
      <c r="B21">
        <v>359</v>
      </c>
      <c r="C21" t="s">
        <v>38</v>
      </c>
      <c r="D21" t="s">
        <v>97</v>
      </c>
      <c r="F21" s="144">
        <v>3260</v>
      </c>
      <c r="G21" s="61" t="s">
        <v>375</v>
      </c>
      <c r="H21" s="45">
        <f t="shared" si="3"/>
        <v>3260</v>
      </c>
      <c r="I21" s="9">
        <f>+'TransPlnt '!K90</f>
        <v>0</v>
      </c>
      <c r="J21" s="9">
        <f>+'TransPlnt '!K17</f>
        <v>0</v>
      </c>
      <c r="K21" s="9">
        <f>+'TransPlnt '!K54</f>
        <v>0</v>
      </c>
      <c r="L21" s="9">
        <f>+'TransPlnt '!K66</f>
        <v>0</v>
      </c>
    </row>
    <row r="22" spans="1:12" x14ac:dyDescent="0.25">
      <c r="A22" s="28">
        <f t="shared" si="0"/>
        <v>14</v>
      </c>
      <c r="C22" t="s">
        <v>1</v>
      </c>
      <c r="F22" s="31">
        <f>SUM(F15:F21)</f>
        <v>47302046</v>
      </c>
      <c r="G22" s="38"/>
      <c r="H22" s="4">
        <f>SUM(H15:H21)</f>
        <v>22152444.794381887</v>
      </c>
      <c r="I22" s="4">
        <f>SUM(I15:I21)</f>
        <v>25149601.205618113</v>
      </c>
      <c r="J22" s="1">
        <f>SUM(J15:J21)</f>
        <v>3397586.6451645629</v>
      </c>
      <c r="K22" s="1">
        <f>SUM(K15:K21)</f>
        <v>12640408.374465751</v>
      </c>
      <c r="L22" s="1">
        <f>SUM(L15:L21)</f>
        <v>8606992.7475019954</v>
      </c>
    </row>
    <row r="23" spans="1:12" x14ac:dyDescent="0.25">
      <c r="A23" s="28">
        <f t="shared" si="0"/>
        <v>15</v>
      </c>
      <c r="F23" s="2"/>
      <c r="G23" s="38"/>
    </row>
    <row r="24" spans="1:12" x14ac:dyDescent="0.25">
      <c r="A24" s="32">
        <f t="shared" si="0"/>
        <v>16</v>
      </c>
      <c r="B24" s="5" t="s">
        <v>98</v>
      </c>
      <c r="C24" s="5"/>
      <c r="F24" s="135"/>
      <c r="G24" s="38"/>
    </row>
    <row r="25" spans="1:12" x14ac:dyDescent="0.25">
      <c r="A25" s="28">
        <f t="shared" si="0"/>
        <v>17</v>
      </c>
      <c r="B25">
        <v>390</v>
      </c>
      <c r="C25" t="s">
        <v>35</v>
      </c>
      <c r="D25" t="s">
        <v>104</v>
      </c>
      <c r="F25" s="134">
        <v>201503</v>
      </c>
      <c r="G25" s="38">
        <v>102</v>
      </c>
      <c r="H25" s="1">
        <f>VLOOKUP($G25,AF!$B$25:$I$31,4)*$F25</f>
        <v>201118.7772665903</v>
      </c>
      <c r="I25" s="1">
        <f>VLOOKUP($G25,AF!$B$25:$I$31,5)*$F25</f>
        <v>384.22273340970514</v>
      </c>
      <c r="J25" s="1">
        <f>VLOOKUP($G25,AF!$B$25:$I$31,6)*$F25</f>
        <v>17.928604145423026</v>
      </c>
      <c r="K25" s="1">
        <f>VLOOKUP($G25,AF!$B$25:$I$31,7)*$F25</f>
        <v>0</v>
      </c>
      <c r="L25" s="1">
        <f>VLOOKUP($G25,AF!$B$25:$I$31,8)*$F25</f>
        <v>366.29412926428216</v>
      </c>
    </row>
    <row r="26" spans="1:12" x14ac:dyDescent="0.25">
      <c r="A26" s="28">
        <f t="shared" si="0"/>
        <v>18</v>
      </c>
      <c r="B26">
        <v>391</v>
      </c>
      <c r="C26" t="s">
        <v>99</v>
      </c>
      <c r="D26" t="s">
        <v>105</v>
      </c>
      <c r="F26" s="134">
        <v>8570768</v>
      </c>
      <c r="G26" s="38">
        <v>102</v>
      </c>
      <c r="H26" s="1">
        <f>VLOOKUP($G26,AF!$B$25:$I$31,4)*$F26</f>
        <v>8554425.3951336686</v>
      </c>
      <c r="I26" s="1">
        <f>VLOOKUP($G26,AF!$B$25:$I$31,5)*$F26</f>
        <v>16342.604866331678</v>
      </c>
      <c r="J26" s="1">
        <f>VLOOKUP($G26,AF!$B$25:$I$31,6)*$F26</f>
        <v>762.57875413397835</v>
      </c>
      <c r="K26" s="1">
        <f>VLOOKUP($G26,AF!$B$25:$I$31,7)*$F26</f>
        <v>0</v>
      </c>
      <c r="L26" s="1">
        <f>VLOOKUP($G26,AF!$B$25:$I$31,8)*$F26</f>
        <v>15580.0261121977</v>
      </c>
    </row>
    <row r="27" spans="1:12" x14ac:dyDescent="0.25">
      <c r="A27" s="28">
        <f t="shared" si="0"/>
        <v>19</v>
      </c>
      <c r="B27">
        <v>392</v>
      </c>
      <c r="C27" t="s">
        <v>100</v>
      </c>
      <c r="D27" t="s">
        <v>106</v>
      </c>
      <c r="F27" s="134">
        <v>602933</v>
      </c>
      <c r="G27" s="38">
        <v>102</v>
      </c>
      <c r="H27" s="1">
        <f>VLOOKUP($G27,AF!$B$25:$I$31,4)*$F27</f>
        <v>601783.33689164475</v>
      </c>
      <c r="I27" s="1">
        <f>VLOOKUP($G27,AF!$B$25:$I$31,5)*$F27</f>
        <v>1149.6631083552788</v>
      </c>
      <c r="J27" s="1">
        <f>VLOOKUP($G27,AF!$B$25:$I$31,6)*$F27</f>
        <v>53.645588816108656</v>
      </c>
      <c r="K27" s="1">
        <f>VLOOKUP($G27,AF!$B$25:$I$31,7)*$F27</f>
        <v>0</v>
      </c>
      <c r="L27" s="1">
        <f>VLOOKUP($G27,AF!$B$25:$I$31,8)*$F27</f>
        <v>1096.0175195391703</v>
      </c>
    </row>
    <row r="28" spans="1:12" x14ac:dyDescent="0.25">
      <c r="A28" s="28">
        <f t="shared" si="0"/>
        <v>20</v>
      </c>
      <c r="B28">
        <v>397</v>
      </c>
      <c r="C28" t="s">
        <v>101</v>
      </c>
      <c r="D28" t="s">
        <v>107</v>
      </c>
      <c r="F28" s="134">
        <v>55560</v>
      </c>
      <c r="G28" s="38">
        <v>102</v>
      </c>
      <c r="H28" s="1">
        <f>VLOOKUP($G28,AF!$B$25:$I$31,4)*$F28</f>
        <v>55454.059070742158</v>
      </c>
      <c r="I28" s="1">
        <f>VLOOKUP($G28,AF!$B$25:$I$31,5)*$F28</f>
        <v>105.94092925784341</v>
      </c>
      <c r="J28" s="1">
        <f>VLOOKUP($G28,AF!$B$25:$I$31,6)*$F28</f>
        <v>4.9434164569247274</v>
      </c>
      <c r="K28" s="1">
        <f>VLOOKUP($G28,AF!$B$25:$I$31,7)*$F28</f>
        <v>0</v>
      </c>
      <c r="L28" s="1">
        <f>VLOOKUP($G28,AF!$B$25:$I$31,8)*$F28</f>
        <v>100.99751280091868</v>
      </c>
    </row>
    <row r="29" spans="1:12" x14ac:dyDescent="0.25">
      <c r="A29" s="28">
        <f t="shared" si="0"/>
        <v>21</v>
      </c>
      <c r="B29">
        <v>398</v>
      </c>
      <c r="C29" t="s">
        <v>102</v>
      </c>
      <c r="D29" t="s">
        <v>108</v>
      </c>
      <c r="F29" s="134">
        <v>135067</v>
      </c>
      <c r="G29" s="38">
        <v>102</v>
      </c>
      <c r="H29" s="1">
        <f>VLOOKUP($G29,AF!$B$25:$I$31,4)*$F29</f>
        <v>134809.4563806323</v>
      </c>
      <c r="I29" s="1">
        <f>VLOOKUP($G29,AF!$B$25:$I$31,5)*$F29</f>
        <v>257.54361936769499</v>
      </c>
      <c r="J29" s="1">
        <f>VLOOKUP($G29,AF!$B$25:$I$31,6)*$F29</f>
        <v>12.017502350386108</v>
      </c>
      <c r="K29" s="1">
        <f>VLOOKUP($G29,AF!$B$25:$I$31,7)*$F29</f>
        <v>0</v>
      </c>
      <c r="L29" s="1">
        <f>VLOOKUP($G29,AF!$B$25:$I$31,8)*$F29</f>
        <v>245.52611701730891</v>
      </c>
    </row>
    <row r="30" spans="1:12" x14ac:dyDescent="0.25">
      <c r="A30" s="28">
        <f t="shared" si="0"/>
        <v>22</v>
      </c>
      <c r="B30">
        <v>399</v>
      </c>
      <c r="C30" t="s">
        <v>103</v>
      </c>
      <c r="D30" t="s">
        <v>109</v>
      </c>
      <c r="F30" s="144">
        <v>1241940</v>
      </c>
      <c r="G30" s="38">
        <v>102</v>
      </c>
      <c r="H30" s="1">
        <f>VLOOKUP($G30,AF!$B$25:$I$31,4)*$F30</f>
        <v>1239571.8884506393</v>
      </c>
      <c r="I30" s="1">
        <f>VLOOKUP($G30,AF!$B$25:$I$31,5)*$F30</f>
        <v>2368.1115493607999</v>
      </c>
      <c r="J30" s="1">
        <f>VLOOKUP($G30,AF!$B$25:$I$31,6)*$F30</f>
        <v>110.5008393540874</v>
      </c>
      <c r="K30" s="1">
        <f>VLOOKUP($G30,AF!$B$25:$I$31,7)*$F30</f>
        <v>0</v>
      </c>
      <c r="L30" s="1">
        <f>VLOOKUP($G30,AF!$B$25:$I$31,8)*$F30</f>
        <v>2257.6107100067125</v>
      </c>
    </row>
    <row r="31" spans="1:12" x14ac:dyDescent="0.25">
      <c r="A31" s="28">
        <f t="shared" si="0"/>
        <v>23</v>
      </c>
      <c r="C31" t="s">
        <v>1</v>
      </c>
      <c r="F31" s="4">
        <f>SUM(F25:F30)</f>
        <v>10807771</v>
      </c>
      <c r="G31" s="38"/>
      <c r="H31" s="4">
        <f t="shared" ref="H31:L31" si="4">SUM(H25:H30)</f>
        <v>10787162.913193917</v>
      </c>
      <c r="I31" s="4">
        <f t="shared" si="4"/>
        <v>20608.086806083</v>
      </c>
      <c r="J31" s="4">
        <f t="shared" si="4"/>
        <v>961.61470525690822</v>
      </c>
      <c r="K31" s="4">
        <f t="shared" si="4"/>
        <v>0</v>
      </c>
      <c r="L31" s="4">
        <f t="shared" si="4"/>
        <v>19646.472100826089</v>
      </c>
    </row>
    <row r="32" spans="1:12" ht="15.75" thickBot="1" x14ac:dyDescent="0.3">
      <c r="A32" s="28">
        <f t="shared" si="0"/>
        <v>24</v>
      </c>
      <c r="F32" s="21"/>
      <c r="G32" s="38"/>
      <c r="H32" s="21"/>
      <c r="I32" s="21"/>
      <c r="J32" s="21"/>
      <c r="K32" s="21"/>
      <c r="L32" s="21"/>
    </row>
    <row r="33" spans="1:12" ht="15.75" thickTop="1" x14ac:dyDescent="0.25">
      <c r="A33" s="28">
        <f t="shared" si="0"/>
        <v>25</v>
      </c>
      <c r="C33" t="s">
        <v>110</v>
      </c>
      <c r="F33" s="1">
        <f>+F12+F22+F31</f>
        <v>360318305</v>
      </c>
      <c r="G33" s="38"/>
      <c r="H33" s="1">
        <f t="shared" ref="H33:L33" si="5">+H12+H22+H31</f>
        <v>335148095.7075758</v>
      </c>
      <c r="I33" s="1">
        <f t="shared" si="5"/>
        <v>25170209.292424195</v>
      </c>
      <c r="J33" s="1">
        <f t="shared" si="5"/>
        <v>3398548.25986982</v>
      </c>
      <c r="K33" s="1">
        <f t="shared" si="5"/>
        <v>12640408.374465751</v>
      </c>
      <c r="L33" s="1">
        <f t="shared" si="5"/>
        <v>8626639.2196028214</v>
      </c>
    </row>
    <row r="35" spans="1:12" x14ac:dyDescent="0.25">
      <c r="B35" s="6"/>
      <c r="C35" s="6"/>
      <c r="D35" s="6"/>
      <c r="F35" s="4"/>
    </row>
    <row r="36" spans="1:12" x14ac:dyDescent="0.25">
      <c r="B36" s="6"/>
      <c r="C36" s="6"/>
      <c r="D36" s="6"/>
      <c r="F36" s="4"/>
    </row>
    <row r="37" spans="1:12" x14ac:dyDescent="0.25">
      <c r="B37" s="6"/>
      <c r="C37" s="6"/>
      <c r="D37" s="6"/>
    </row>
    <row r="38" spans="1:12" x14ac:dyDescent="0.25">
      <c r="B38" s="6"/>
      <c r="C38" s="6"/>
      <c r="D38" s="6"/>
    </row>
    <row r="39" spans="1:12" x14ac:dyDescent="0.25">
      <c r="B39" s="6"/>
      <c r="C39" s="6"/>
      <c r="D39" s="6"/>
    </row>
    <row r="40" spans="1:12" x14ac:dyDescent="0.25">
      <c r="B40" s="6"/>
      <c r="C40" s="6"/>
      <c r="D40" s="6"/>
    </row>
    <row r="41" spans="1:12" x14ac:dyDescent="0.25">
      <c r="B41" s="6"/>
      <c r="C41" s="6"/>
      <c r="D41" s="6"/>
    </row>
  </sheetData>
  <mergeCells count="4">
    <mergeCell ref="I6:L6"/>
    <mergeCell ref="I5:L5"/>
    <mergeCell ref="B1:L1"/>
    <mergeCell ref="A2:L2"/>
  </mergeCells>
  <pageMargins left="0.7" right="0.7" top="0.75" bottom="0.75" header="0.3" footer="0.3"/>
  <pageSetup scale="81" orientation="landscape" r:id="rId1"/>
  <headerFooter>
    <oddHeader xml:space="preserve">&amp;RSchedule B1.0
</oddHeader>
    <oddFooter>&amp;L&amp;Z&amp;F&amp;R&amp;D</oddFooter>
  </headerFooter>
  <ignoredErrors>
    <ignoredError sqref="H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93"/>
  <sheetViews>
    <sheetView zoomScale="80" zoomScaleNormal="80" workbookViewId="0"/>
  </sheetViews>
  <sheetFormatPr defaultRowHeight="15" x14ac:dyDescent="0.25"/>
  <cols>
    <col min="1" max="1" width="3.85546875" style="2" customWidth="1"/>
    <col min="2" max="2" width="6.85546875" style="2" customWidth="1"/>
    <col min="3" max="3" width="27.85546875" style="2" customWidth="1"/>
    <col min="4" max="4" width="5.7109375" style="2" customWidth="1"/>
    <col min="5" max="6" width="18.28515625" style="2" customWidth="1"/>
    <col min="7" max="7" width="13" style="2" customWidth="1"/>
    <col min="8" max="8" width="13.28515625" style="2" customWidth="1"/>
    <col min="9" max="9" width="2.42578125" style="2" customWidth="1"/>
    <col min="10" max="10" width="11.28515625" style="2" customWidth="1"/>
    <col min="11" max="12" width="13.28515625" style="2" bestFit="1" customWidth="1"/>
    <col min="13" max="16384" width="9.140625" style="2"/>
  </cols>
  <sheetData>
    <row r="1" spans="1:12" x14ac:dyDescent="0.25">
      <c r="B1" s="188" t="s">
        <v>33</v>
      </c>
      <c r="C1" s="188"/>
      <c r="D1" s="188"/>
      <c r="E1" s="188"/>
      <c r="F1" s="188"/>
      <c r="G1" s="188"/>
      <c r="H1" s="188"/>
      <c r="I1" s="188"/>
      <c r="J1" s="188"/>
      <c r="K1" s="188"/>
      <c r="L1" s="188"/>
    </row>
    <row r="2" spans="1:12" x14ac:dyDescent="0.25">
      <c r="B2" s="188" t="s">
        <v>457</v>
      </c>
      <c r="C2" s="188"/>
      <c r="D2" s="188"/>
      <c r="E2" s="188"/>
      <c r="F2" s="188"/>
      <c r="G2" s="188"/>
      <c r="H2" s="188"/>
      <c r="I2" s="188"/>
      <c r="J2" s="188"/>
      <c r="K2" s="188"/>
      <c r="L2" s="188"/>
    </row>
    <row r="3" spans="1:12" x14ac:dyDescent="0.25">
      <c r="B3" s="111"/>
      <c r="C3" s="111"/>
      <c r="D3" s="111"/>
      <c r="E3" s="111"/>
      <c r="F3" s="111"/>
      <c r="G3" s="111"/>
      <c r="H3" s="111"/>
      <c r="I3" s="111"/>
      <c r="J3" s="111"/>
      <c r="K3" s="111"/>
      <c r="L3" s="111"/>
    </row>
    <row r="4" spans="1:12" x14ac:dyDescent="0.25">
      <c r="B4" s="112" t="s">
        <v>420</v>
      </c>
      <c r="C4" s="111"/>
      <c r="D4" s="111"/>
      <c r="E4" s="111"/>
      <c r="F4" s="111"/>
      <c r="G4" s="111"/>
      <c r="H4" s="111"/>
      <c r="I4" s="111"/>
      <c r="J4" s="111"/>
      <c r="K4" s="111"/>
      <c r="L4" s="111"/>
    </row>
    <row r="6" spans="1:12" x14ac:dyDescent="0.25">
      <c r="E6" s="111" t="s">
        <v>221</v>
      </c>
      <c r="F6" s="111" t="s">
        <v>222</v>
      </c>
      <c r="G6" s="111" t="s">
        <v>223</v>
      </c>
      <c r="H6" s="111" t="s">
        <v>224</v>
      </c>
      <c r="I6" s="111"/>
      <c r="J6" s="111" t="s">
        <v>225</v>
      </c>
      <c r="K6" s="111" t="s">
        <v>226</v>
      </c>
      <c r="L6" s="111" t="s">
        <v>227</v>
      </c>
    </row>
    <row r="7" spans="1:12" x14ac:dyDescent="0.25">
      <c r="J7" s="111"/>
      <c r="K7" s="111" t="s">
        <v>32</v>
      </c>
      <c r="L7" s="111" t="s">
        <v>32</v>
      </c>
    </row>
    <row r="8" spans="1:12" x14ac:dyDescent="0.25">
      <c r="E8" s="111" t="s">
        <v>1</v>
      </c>
      <c r="F8" s="111" t="s">
        <v>184</v>
      </c>
      <c r="G8" s="111" t="s">
        <v>32</v>
      </c>
      <c r="H8" s="111" t="s">
        <v>40</v>
      </c>
      <c r="I8" s="111"/>
      <c r="J8" s="111" t="s">
        <v>181</v>
      </c>
      <c r="K8" s="111" t="s">
        <v>39</v>
      </c>
      <c r="L8" s="111" t="s">
        <v>41</v>
      </c>
    </row>
    <row r="9" spans="1:12" x14ac:dyDescent="0.25">
      <c r="E9" s="113" t="s">
        <v>116</v>
      </c>
      <c r="F9" s="113" t="s">
        <v>116</v>
      </c>
      <c r="G9" s="113" t="s">
        <v>116</v>
      </c>
      <c r="H9" s="113" t="s">
        <v>116</v>
      </c>
      <c r="I9" s="113"/>
      <c r="J9" s="113" t="s">
        <v>23</v>
      </c>
      <c r="K9" s="113" t="s">
        <v>23</v>
      </c>
      <c r="L9" s="113" t="s">
        <v>23</v>
      </c>
    </row>
    <row r="10" spans="1:12" x14ac:dyDescent="0.25">
      <c r="A10" s="111">
        <v>1</v>
      </c>
      <c r="C10" s="114" t="s">
        <v>165</v>
      </c>
    </row>
    <row r="11" spans="1:12" x14ac:dyDescent="0.25">
      <c r="A11" s="111">
        <f>+A10+1</f>
        <v>2</v>
      </c>
      <c r="B11" s="2">
        <v>350</v>
      </c>
      <c r="C11" s="2" t="s">
        <v>34</v>
      </c>
      <c r="E11" s="115">
        <f t="shared" ref="E11:E17" si="0">+G11+H11</f>
        <v>55264</v>
      </c>
      <c r="F11" s="31"/>
      <c r="G11" s="134">
        <v>45304</v>
      </c>
      <c r="H11" s="134">
        <v>9960</v>
      </c>
      <c r="I11" s="3"/>
      <c r="J11" s="3">
        <v>14</v>
      </c>
      <c r="K11" s="3">
        <f>VLOOKUP($J11,AF!$B$15:$F$21,4)*$G11</f>
        <v>31863.602184126019</v>
      </c>
      <c r="L11" s="3">
        <f>VLOOKUP($J11,AF!$B$15:$F$21,5)*$G11</f>
        <v>12054.514754809041</v>
      </c>
    </row>
    <row r="12" spans="1:12" x14ac:dyDescent="0.25">
      <c r="A12" s="111">
        <f t="shared" ref="A12:A76" si="1">+A11+1</f>
        <v>3</v>
      </c>
      <c r="B12" s="2">
        <v>352</v>
      </c>
      <c r="C12" s="2" t="s">
        <v>35</v>
      </c>
      <c r="E12" s="115">
        <f t="shared" si="0"/>
        <v>0</v>
      </c>
      <c r="F12" s="31"/>
      <c r="G12" s="134"/>
      <c r="H12" s="134"/>
      <c r="I12" s="3"/>
      <c r="J12" s="3"/>
      <c r="K12" s="3"/>
      <c r="L12" s="3"/>
    </row>
    <row r="13" spans="1:12" x14ac:dyDescent="0.25">
      <c r="A13" s="111">
        <f t="shared" si="1"/>
        <v>4</v>
      </c>
      <c r="B13" s="2">
        <v>353</v>
      </c>
      <c r="C13" s="2" t="s">
        <v>36</v>
      </c>
      <c r="E13" s="115">
        <f t="shared" si="0"/>
        <v>3688754</v>
      </c>
      <c r="F13" s="31"/>
      <c r="G13" s="134">
        <v>1358075</v>
      </c>
      <c r="H13" s="134">
        <v>2330679</v>
      </c>
      <c r="I13" s="3"/>
      <c r="J13" s="3">
        <v>11</v>
      </c>
      <c r="K13" s="3">
        <f>VLOOKUP($J13,AF!$B$15:$F$21,4)*$G13</f>
        <v>122948.35528327592</v>
      </c>
      <c r="L13" s="3">
        <f>VLOOKUP($J13,AF!$B$15:$F$21,5)*$G13</f>
        <v>1235126.6447167241</v>
      </c>
    </row>
    <row r="14" spans="1:12" x14ac:dyDescent="0.25">
      <c r="A14" s="111">
        <f t="shared" si="1"/>
        <v>5</v>
      </c>
      <c r="B14" s="2">
        <v>353</v>
      </c>
      <c r="C14" s="2" t="s">
        <v>43</v>
      </c>
      <c r="E14" s="115">
        <f t="shared" si="0"/>
        <v>142000</v>
      </c>
      <c r="F14" s="31"/>
      <c r="G14" s="134">
        <v>142000</v>
      </c>
      <c r="H14" s="134"/>
      <c r="I14" s="3"/>
      <c r="J14" s="3"/>
      <c r="K14" s="3"/>
      <c r="L14" s="3"/>
    </row>
    <row r="15" spans="1:12" x14ac:dyDescent="0.25">
      <c r="A15" s="111">
        <f t="shared" si="1"/>
        <v>6</v>
      </c>
      <c r="B15" s="2">
        <v>355</v>
      </c>
      <c r="C15" s="2" t="s">
        <v>37</v>
      </c>
      <c r="E15" s="115">
        <f t="shared" si="0"/>
        <v>1955977</v>
      </c>
      <c r="F15" s="31"/>
      <c r="G15" s="134">
        <v>1477816</v>
      </c>
      <c r="H15" s="134">
        <v>478161</v>
      </c>
      <c r="I15" s="3"/>
      <c r="J15" s="3">
        <v>10</v>
      </c>
      <c r="K15" s="3">
        <f>VLOOKUP($J15,AF!$B$15:$F$21,4)*$G15</f>
        <v>1477816</v>
      </c>
      <c r="L15" s="3">
        <f>VLOOKUP($J15,AF!$B$15:$F$21,5)*$G15</f>
        <v>0</v>
      </c>
    </row>
    <row r="16" spans="1:12" x14ac:dyDescent="0.25">
      <c r="A16" s="111">
        <f t="shared" si="1"/>
        <v>7</v>
      </c>
      <c r="B16" s="2">
        <v>356</v>
      </c>
      <c r="C16" s="2" t="s">
        <v>92</v>
      </c>
      <c r="E16" s="115">
        <f t="shared" si="0"/>
        <v>2293335</v>
      </c>
      <c r="F16" s="31"/>
      <c r="G16" s="134">
        <v>1664036</v>
      </c>
      <c r="H16" s="134">
        <v>629299</v>
      </c>
      <c r="I16" s="3"/>
      <c r="J16" s="3">
        <v>10</v>
      </c>
      <c r="K16" s="3">
        <f>VLOOKUP($J16,AF!$B$15:$F$21,4)*$G16</f>
        <v>1664036</v>
      </c>
      <c r="L16" s="3">
        <f>VLOOKUP($J16,AF!$B$15:$F$21,5)*$G16</f>
        <v>0</v>
      </c>
    </row>
    <row r="17" spans="1:12" x14ac:dyDescent="0.25">
      <c r="A17" s="111">
        <f t="shared" si="1"/>
        <v>8</v>
      </c>
      <c r="B17" s="2">
        <v>359</v>
      </c>
      <c r="C17" s="2" t="s">
        <v>38</v>
      </c>
      <c r="E17" s="116">
        <f t="shared" si="0"/>
        <v>0</v>
      </c>
      <c r="F17" s="117"/>
      <c r="G17" s="183"/>
      <c r="H17" s="144"/>
      <c r="I17" s="3"/>
      <c r="J17" s="118"/>
      <c r="K17" s="119"/>
      <c r="L17" s="119"/>
    </row>
    <row r="18" spans="1:12" x14ac:dyDescent="0.25">
      <c r="A18" s="111">
        <f t="shared" si="1"/>
        <v>9</v>
      </c>
      <c r="C18" s="2" t="s">
        <v>1</v>
      </c>
      <c r="E18" s="31">
        <f>SUM(E11:E17)</f>
        <v>8135330</v>
      </c>
      <c r="F18" s="31"/>
      <c r="G18" s="136">
        <f>SUM(G11:G17)</f>
        <v>4687231</v>
      </c>
      <c r="H18" s="136">
        <f>SUM(H11:H17)</f>
        <v>3448099</v>
      </c>
      <c r="I18" s="31"/>
      <c r="J18" s="120"/>
      <c r="K18" s="3">
        <f>IFERROR(SUM(K11:K17),0)</f>
        <v>3296663.9574674019</v>
      </c>
      <c r="L18" s="3">
        <f>IFERROR(SUM(L11:L17),0)</f>
        <v>1247181.159471533</v>
      </c>
    </row>
    <row r="19" spans="1:12" x14ac:dyDescent="0.25">
      <c r="A19" s="111">
        <f t="shared" si="1"/>
        <v>10</v>
      </c>
      <c r="C19" s="2" t="s">
        <v>205</v>
      </c>
      <c r="E19" s="31"/>
      <c r="F19" s="97">
        <f>IFERROR(+F13/$E13,0)</f>
        <v>0</v>
      </c>
      <c r="G19" s="97">
        <f>IFERROR(+G13/$E13,0)</f>
        <v>0.36816632391316961</v>
      </c>
      <c r="H19" s="97">
        <f>IFERROR(+H13/$E13,0)</f>
        <v>0.63183367608683039</v>
      </c>
      <c r="I19" s="31"/>
      <c r="J19" s="120"/>
      <c r="K19" s="97">
        <f>IFERROR(+K13/($G13),0)</f>
        <v>9.0531344206524617E-2</v>
      </c>
      <c r="L19" s="97">
        <f>IFERROR(+L13/($G13),0)</f>
        <v>0.90946865579347536</v>
      </c>
    </row>
    <row r="20" spans="1:12" x14ac:dyDescent="0.25">
      <c r="A20" s="111" t="s">
        <v>405</v>
      </c>
      <c r="C20" s="2" t="s">
        <v>203</v>
      </c>
      <c r="E20" s="31"/>
      <c r="F20" s="97">
        <f>IFERROR((F15+F16)/($E15+$E16),0)</f>
        <v>0</v>
      </c>
      <c r="G20" s="97">
        <f>IFERROR((G15+G16)/($E15+$E16),0)</f>
        <v>0.7393789865277014</v>
      </c>
      <c r="H20" s="97">
        <f>IFERROR((H15+H16)/($E15+$E16),0)</f>
        <v>0.2606210134722986</v>
      </c>
      <c r="I20" s="31"/>
      <c r="J20" s="121"/>
      <c r="K20" s="97">
        <f>IFERROR(SUM(K15:K16)/SUM($G15:$G16),0)</f>
        <v>1</v>
      </c>
      <c r="L20" s="97">
        <f>IFERROR(SUM(L15:L16)/SUM($G15:$G16),0)</f>
        <v>0</v>
      </c>
    </row>
    <row r="21" spans="1:12" x14ac:dyDescent="0.25">
      <c r="A21" s="111">
        <v>11</v>
      </c>
      <c r="C21" s="2" t="s">
        <v>204</v>
      </c>
      <c r="E21" s="31"/>
      <c r="F21" s="97">
        <f>IFERROR((F18-F11)/($E18-$E11),0)</f>
        <v>0</v>
      </c>
      <c r="G21" s="97">
        <f>IFERROR((G18-G11)/($E18-$E11),0)</f>
        <v>0.57449122321525592</v>
      </c>
      <c r="H21" s="97">
        <f>IFERROR((H18-H11)/($E18-$E11),0)</f>
        <v>0.42550877678474408</v>
      </c>
      <c r="I21" s="31"/>
      <c r="J21" s="121"/>
      <c r="K21" s="97">
        <f>IFERROR(SUM(K12:K17)/SUM(G12:G17),0)</f>
        <v>0.70332867261447152</v>
      </c>
      <c r="L21" s="97">
        <f>IFERROR(SUM(L12:L17)/SUM(G12:G17),0)</f>
        <v>0.2660805834983454</v>
      </c>
    </row>
    <row r="22" spans="1:12" x14ac:dyDescent="0.25">
      <c r="A22" s="111">
        <f t="shared" si="1"/>
        <v>12</v>
      </c>
      <c r="G22" s="135"/>
      <c r="H22" s="135"/>
    </row>
    <row r="23" spans="1:12" x14ac:dyDescent="0.25">
      <c r="A23" s="111">
        <f t="shared" si="1"/>
        <v>13</v>
      </c>
      <c r="C23" s="114" t="s">
        <v>166</v>
      </c>
      <c r="G23" s="135"/>
      <c r="H23" s="135"/>
    </row>
    <row r="24" spans="1:12" x14ac:dyDescent="0.25">
      <c r="A24" s="111">
        <f t="shared" si="1"/>
        <v>14</v>
      </c>
      <c r="B24" s="2">
        <v>350</v>
      </c>
      <c r="C24" s="2" t="s">
        <v>34</v>
      </c>
      <c r="E24" s="115">
        <f>+G24+H24</f>
        <v>8958</v>
      </c>
      <c r="F24" s="31"/>
      <c r="G24" s="135"/>
      <c r="H24" s="134">
        <v>8958</v>
      </c>
      <c r="I24" s="3"/>
    </row>
    <row r="25" spans="1:12" x14ac:dyDescent="0.25">
      <c r="A25" s="111">
        <f t="shared" si="1"/>
        <v>15</v>
      </c>
      <c r="B25" s="2">
        <v>352</v>
      </c>
      <c r="C25" s="2" t="s">
        <v>35</v>
      </c>
      <c r="E25" s="115">
        <f t="shared" ref="E25:E30" si="2">+G25+H25</f>
        <v>286</v>
      </c>
      <c r="F25" s="31"/>
      <c r="G25" s="135"/>
      <c r="H25" s="134">
        <v>286</v>
      </c>
      <c r="I25" s="3"/>
    </row>
    <row r="26" spans="1:12" x14ac:dyDescent="0.25">
      <c r="A26" s="111">
        <f t="shared" si="1"/>
        <v>16</v>
      </c>
      <c r="B26" s="2">
        <v>353</v>
      </c>
      <c r="C26" s="2" t="s">
        <v>36</v>
      </c>
      <c r="E26" s="115">
        <f t="shared" si="2"/>
        <v>513703</v>
      </c>
      <c r="F26" s="31"/>
      <c r="G26" s="135"/>
      <c r="H26" s="134">
        <v>513703</v>
      </c>
      <c r="I26" s="3"/>
    </row>
    <row r="27" spans="1:12" x14ac:dyDescent="0.25">
      <c r="A27" s="111">
        <f t="shared" si="1"/>
        <v>17</v>
      </c>
      <c r="B27" s="2">
        <v>353</v>
      </c>
      <c r="C27" s="2" t="s">
        <v>43</v>
      </c>
      <c r="E27" s="115">
        <f t="shared" si="2"/>
        <v>0</v>
      </c>
      <c r="F27" s="31"/>
      <c r="G27" s="135"/>
      <c r="H27" s="134">
        <v>0</v>
      </c>
    </row>
    <row r="28" spans="1:12" x14ac:dyDescent="0.25">
      <c r="A28" s="111">
        <f t="shared" si="1"/>
        <v>18</v>
      </c>
      <c r="B28" s="2">
        <v>355</v>
      </c>
      <c r="C28" s="2" t="s">
        <v>37</v>
      </c>
      <c r="E28" s="115">
        <f t="shared" si="2"/>
        <v>346986</v>
      </c>
      <c r="F28" s="31"/>
      <c r="G28" s="135"/>
      <c r="H28" s="134">
        <v>346986</v>
      </c>
      <c r="I28" s="3"/>
    </row>
    <row r="29" spans="1:12" x14ac:dyDescent="0.25">
      <c r="A29" s="111">
        <f t="shared" si="1"/>
        <v>19</v>
      </c>
      <c r="B29" s="2">
        <v>356</v>
      </c>
      <c r="C29" s="2" t="s">
        <v>92</v>
      </c>
      <c r="E29" s="115">
        <f t="shared" si="2"/>
        <v>357977</v>
      </c>
      <c r="F29" s="31"/>
      <c r="G29" s="135"/>
      <c r="H29" s="134">
        <v>357977</v>
      </c>
      <c r="I29" s="3"/>
    </row>
    <row r="30" spans="1:12" x14ac:dyDescent="0.25">
      <c r="A30" s="111">
        <f t="shared" si="1"/>
        <v>20</v>
      </c>
      <c r="B30" s="2">
        <v>359</v>
      </c>
      <c r="C30" s="2" t="s">
        <v>38</v>
      </c>
      <c r="E30" s="116">
        <f t="shared" si="2"/>
        <v>3260</v>
      </c>
      <c r="F30" s="117"/>
      <c r="G30" s="30"/>
      <c r="H30" s="144">
        <v>3260</v>
      </c>
      <c r="I30" s="3"/>
    </row>
    <row r="31" spans="1:12" x14ac:dyDescent="0.25">
      <c r="A31" s="111">
        <f t="shared" si="1"/>
        <v>21</v>
      </c>
      <c r="C31" s="2" t="s">
        <v>1</v>
      </c>
      <c r="E31" s="31">
        <f>SUM(E24:E30)</f>
        <v>1231170</v>
      </c>
      <c r="F31" s="31"/>
      <c r="G31" s="136">
        <f>SUM(G24:G30)</f>
        <v>0</v>
      </c>
      <c r="H31" s="136">
        <f>SUM(H24:H30)</f>
        <v>1231170</v>
      </c>
      <c r="I31" s="31"/>
    </row>
    <row r="32" spans="1:12" x14ac:dyDescent="0.25">
      <c r="A32" s="111">
        <f t="shared" si="1"/>
        <v>22</v>
      </c>
      <c r="C32" s="2" t="s">
        <v>216</v>
      </c>
      <c r="E32" s="31"/>
      <c r="F32" s="97">
        <f>IFERROR(+F26/$E26,0)</f>
        <v>0</v>
      </c>
      <c r="G32" s="97">
        <f>IFERROR(+G26/$E26,0)</f>
        <v>0</v>
      </c>
      <c r="H32" s="97">
        <f>IFERROR(+H26/$E26,0)</f>
        <v>1</v>
      </c>
      <c r="I32" s="31"/>
      <c r="J32" s="121"/>
      <c r="K32" s="97"/>
      <c r="L32" s="97"/>
    </row>
    <row r="33" spans="1:12" x14ac:dyDescent="0.25">
      <c r="A33" s="111">
        <f t="shared" si="1"/>
        <v>23</v>
      </c>
      <c r="C33" s="2" t="s">
        <v>201</v>
      </c>
      <c r="E33" s="31"/>
      <c r="F33" s="97">
        <f>IFERROR((F31-F24)/($E31-$E24),0)</f>
        <v>0</v>
      </c>
      <c r="G33" s="97">
        <f>IFERROR((G31-G24)/($E31-$E24),0)</f>
        <v>0</v>
      </c>
      <c r="H33" s="97">
        <f>IFERROR((H31-H24)/($E31-$E24),0)</f>
        <v>1</v>
      </c>
      <c r="I33" s="31"/>
      <c r="J33" s="121"/>
      <c r="K33" s="97"/>
      <c r="L33" s="97"/>
    </row>
    <row r="34" spans="1:12" x14ac:dyDescent="0.25">
      <c r="A34" s="111">
        <f t="shared" si="1"/>
        <v>24</v>
      </c>
    </row>
    <row r="35" spans="1:12" x14ac:dyDescent="0.25">
      <c r="A35" s="111">
        <f t="shared" si="1"/>
        <v>25</v>
      </c>
      <c r="C35" s="114" t="s">
        <v>167</v>
      </c>
    </row>
    <row r="36" spans="1:12" x14ac:dyDescent="0.25">
      <c r="A36" s="111">
        <f t="shared" si="1"/>
        <v>26</v>
      </c>
      <c r="B36" s="2">
        <v>350</v>
      </c>
      <c r="C36" s="2" t="s">
        <v>34</v>
      </c>
      <c r="E36" s="31">
        <f>+G36+H36</f>
        <v>142261</v>
      </c>
      <c r="F36" s="31"/>
      <c r="G36" s="135"/>
      <c r="H36" s="134">
        <v>142261</v>
      </c>
    </row>
    <row r="37" spans="1:12" x14ac:dyDescent="0.25">
      <c r="A37" s="111">
        <f t="shared" si="1"/>
        <v>27</v>
      </c>
      <c r="B37" s="2">
        <v>352</v>
      </c>
      <c r="C37" s="2" t="s">
        <v>35</v>
      </c>
      <c r="E37" s="31">
        <f t="shared" ref="E37:E42" si="3">+G37+H37</f>
        <v>0</v>
      </c>
      <c r="F37" s="31"/>
      <c r="G37" s="135"/>
      <c r="H37" s="134">
        <v>0</v>
      </c>
    </row>
    <row r="38" spans="1:12" x14ac:dyDescent="0.25">
      <c r="A38" s="111">
        <f t="shared" si="1"/>
        <v>28</v>
      </c>
      <c r="B38" s="2">
        <v>353</v>
      </c>
      <c r="C38" s="2" t="s">
        <v>36</v>
      </c>
      <c r="E38" s="31">
        <f t="shared" si="3"/>
        <v>8154643</v>
      </c>
      <c r="F38" s="31"/>
      <c r="G38" s="135"/>
      <c r="H38" s="134">
        <v>8154643</v>
      </c>
    </row>
    <row r="39" spans="1:12" x14ac:dyDescent="0.25">
      <c r="A39" s="111">
        <f t="shared" si="1"/>
        <v>29</v>
      </c>
      <c r="B39" s="2">
        <v>353</v>
      </c>
      <c r="C39" s="2" t="s">
        <v>43</v>
      </c>
      <c r="E39" s="31">
        <f t="shared" si="3"/>
        <v>386230</v>
      </c>
      <c r="F39" s="31"/>
      <c r="G39" s="135"/>
      <c r="H39" s="134">
        <v>386230</v>
      </c>
    </row>
    <row r="40" spans="1:12" x14ac:dyDescent="0.25">
      <c r="A40" s="111">
        <f t="shared" si="1"/>
        <v>30</v>
      </c>
      <c r="B40" s="2">
        <v>355</v>
      </c>
      <c r="C40" s="2" t="s">
        <v>37</v>
      </c>
      <c r="E40" s="31">
        <f t="shared" si="3"/>
        <v>1158793</v>
      </c>
      <c r="F40" s="31"/>
      <c r="G40" s="135"/>
      <c r="H40" s="134">
        <v>1158793</v>
      </c>
    </row>
    <row r="41" spans="1:12" x14ac:dyDescent="0.25">
      <c r="A41" s="111">
        <f t="shared" si="1"/>
        <v>31</v>
      </c>
      <c r="B41" s="2">
        <v>356</v>
      </c>
      <c r="C41" s="2" t="s">
        <v>92</v>
      </c>
      <c r="E41" s="31">
        <f t="shared" si="3"/>
        <v>624981</v>
      </c>
      <c r="F41" s="31"/>
      <c r="G41" s="135"/>
      <c r="H41" s="134">
        <v>624981</v>
      </c>
    </row>
    <row r="42" spans="1:12" x14ac:dyDescent="0.25">
      <c r="A42" s="111">
        <f t="shared" si="1"/>
        <v>32</v>
      </c>
      <c r="B42" s="2">
        <v>359</v>
      </c>
      <c r="C42" s="2" t="s">
        <v>38</v>
      </c>
      <c r="E42" s="117">
        <f t="shared" si="3"/>
        <v>0</v>
      </c>
      <c r="F42" s="117"/>
      <c r="G42" s="30"/>
      <c r="H42" s="183"/>
    </row>
    <row r="43" spans="1:12" x14ac:dyDescent="0.25">
      <c r="A43" s="111">
        <f t="shared" si="1"/>
        <v>33</v>
      </c>
      <c r="C43" s="2" t="s">
        <v>1</v>
      </c>
      <c r="E43" s="31">
        <f>SUM(E36:E42)</f>
        <v>10466908</v>
      </c>
      <c r="F43" s="31"/>
      <c r="G43" s="31">
        <f>SUM(G36:G42)</f>
        <v>0</v>
      </c>
      <c r="H43" s="31">
        <f>SUM(H36:H42)</f>
        <v>10466908</v>
      </c>
      <c r="I43" s="31"/>
    </row>
    <row r="44" spans="1:12" x14ac:dyDescent="0.25">
      <c r="A44" s="111">
        <f t="shared" si="1"/>
        <v>34</v>
      </c>
      <c r="C44" s="2" t="s">
        <v>200</v>
      </c>
      <c r="E44" s="31"/>
      <c r="F44" s="97">
        <f>IFERROR(+F38/$E38,0)</f>
        <v>0</v>
      </c>
      <c r="G44" s="97">
        <f>IFERROR(+G38/$E38,0)</f>
        <v>0</v>
      </c>
      <c r="H44" s="97">
        <f>IFERROR(+H38/$E38,0)</f>
        <v>1</v>
      </c>
      <c r="I44" s="31"/>
      <c r="J44" s="121"/>
      <c r="K44" s="97"/>
      <c r="L44" s="97"/>
    </row>
    <row r="45" spans="1:12" x14ac:dyDescent="0.25">
      <c r="A45" s="111">
        <f t="shared" si="1"/>
        <v>35</v>
      </c>
      <c r="C45" s="2" t="s">
        <v>201</v>
      </c>
      <c r="E45" s="31"/>
      <c r="F45" s="97">
        <f>IFERROR((F43-F36)/($E43-$E36),0)</f>
        <v>0</v>
      </c>
      <c r="G45" s="97">
        <f>IFERROR((G43-G36)/($E43-$E36),0)</f>
        <v>0</v>
      </c>
      <c r="H45" s="97">
        <f>IFERROR((H43-H36)/($E43-$E36),0)</f>
        <v>1</v>
      </c>
      <c r="I45" s="31"/>
      <c r="J45" s="121"/>
      <c r="K45" s="97"/>
      <c r="L45" s="97"/>
    </row>
    <row r="46" spans="1:12" x14ac:dyDescent="0.25">
      <c r="A46" s="111">
        <f t="shared" si="1"/>
        <v>36</v>
      </c>
    </row>
    <row r="47" spans="1:12" x14ac:dyDescent="0.25">
      <c r="A47" s="111">
        <f t="shared" si="1"/>
        <v>37</v>
      </c>
      <c r="C47" s="114" t="s">
        <v>168</v>
      </c>
    </row>
    <row r="48" spans="1:12" x14ac:dyDescent="0.25">
      <c r="A48" s="111">
        <f t="shared" si="1"/>
        <v>38</v>
      </c>
      <c r="B48" s="2">
        <v>350</v>
      </c>
      <c r="C48" s="2" t="s">
        <v>34</v>
      </c>
      <c r="E48" s="31">
        <f>+G48+H48</f>
        <v>0</v>
      </c>
      <c r="F48" s="31"/>
      <c r="G48" s="134"/>
      <c r="H48" s="135"/>
      <c r="J48" s="3"/>
      <c r="K48" s="3"/>
      <c r="L48" s="3"/>
    </row>
    <row r="49" spans="1:12" x14ac:dyDescent="0.25">
      <c r="A49" s="111">
        <f t="shared" si="1"/>
        <v>39</v>
      </c>
      <c r="B49" s="2">
        <v>352</v>
      </c>
      <c r="C49" s="2" t="s">
        <v>35</v>
      </c>
      <c r="E49" s="31">
        <f t="shared" ref="E49:E54" si="4">+G49+H49</f>
        <v>0</v>
      </c>
      <c r="F49" s="31"/>
      <c r="G49" s="134"/>
      <c r="H49" s="135"/>
      <c r="J49" s="3"/>
      <c r="K49" s="3"/>
      <c r="L49" s="3"/>
    </row>
    <row r="50" spans="1:12" x14ac:dyDescent="0.25">
      <c r="A50" s="111">
        <f t="shared" si="1"/>
        <v>40</v>
      </c>
      <c r="B50" s="2">
        <v>353</v>
      </c>
      <c r="C50" s="2" t="s">
        <v>36</v>
      </c>
      <c r="E50" s="31">
        <f t="shared" si="4"/>
        <v>13842305</v>
      </c>
      <c r="F50" s="31"/>
      <c r="G50" s="134">
        <v>13842305</v>
      </c>
      <c r="H50" s="135"/>
      <c r="J50" s="3">
        <v>12</v>
      </c>
      <c r="K50" s="3">
        <f>VLOOKUP($J50,AF!$B$15:$F$21,4)*$G50</f>
        <v>1253162.4785666966</v>
      </c>
      <c r="L50" s="3">
        <f>VLOOKUP($J50,AF!$B$15:$F$21,5)*$G50</f>
        <v>12589142.521433303</v>
      </c>
    </row>
    <row r="51" spans="1:12" x14ac:dyDescent="0.25">
      <c r="A51" s="111">
        <f t="shared" si="1"/>
        <v>41</v>
      </c>
      <c r="B51" s="2">
        <v>353</v>
      </c>
      <c r="C51" s="2" t="s">
        <v>43</v>
      </c>
      <c r="E51" s="31">
        <f t="shared" si="4"/>
        <v>0</v>
      </c>
      <c r="F51" s="31"/>
      <c r="G51" s="184"/>
      <c r="H51" s="135"/>
      <c r="J51" s="3"/>
      <c r="K51" s="3"/>
      <c r="L51" s="3"/>
    </row>
    <row r="52" spans="1:12" x14ac:dyDescent="0.25">
      <c r="A52" s="111">
        <f t="shared" si="1"/>
        <v>42</v>
      </c>
      <c r="B52" s="2">
        <v>355</v>
      </c>
      <c r="C52" s="2" t="s">
        <v>37</v>
      </c>
      <c r="E52" s="31">
        <f t="shared" si="4"/>
        <v>11353605</v>
      </c>
      <c r="F52" s="31"/>
      <c r="G52" s="134">
        <v>11353605</v>
      </c>
      <c r="H52" s="135"/>
      <c r="J52" s="3">
        <v>10</v>
      </c>
      <c r="K52" s="3">
        <f>VLOOKUP($J52,AF!$B$15:$F$21,4)*$G52</f>
        <v>11353605</v>
      </c>
      <c r="L52" s="3">
        <f>VLOOKUP($J52,AF!$B$15:$F$21,5)*$G52</f>
        <v>0</v>
      </c>
    </row>
    <row r="53" spans="1:12" x14ac:dyDescent="0.25">
      <c r="A53" s="111">
        <f t="shared" si="1"/>
        <v>43</v>
      </c>
      <c r="B53" s="2">
        <v>356</v>
      </c>
      <c r="C53" s="2" t="s">
        <v>92</v>
      </c>
      <c r="E53" s="31">
        <f t="shared" si="4"/>
        <v>0</v>
      </c>
      <c r="F53" s="31"/>
      <c r="G53" s="134"/>
      <c r="H53" s="135"/>
      <c r="J53" s="121"/>
      <c r="K53" s="3"/>
      <c r="L53" s="3"/>
    </row>
    <row r="54" spans="1:12" x14ac:dyDescent="0.25">
      <c r="A54" s="111">
        <f t="shared" si="1"/>
        <v>44</v>
      </c>
      <c r="B54" s="2">
        <v>359</v>
      </c>
      <c r="C54" s="2" t="s">
        <v>38</v>
      </c>
      <c r="E54" s="117">
        <f t="shared" si="4"/>
        <v>0</v>
      </c>
      <c r="F54" s="117"/>
      <c r="G54" s="183"/>
      <c r="H54" s="30"/>
      <c r="J54" s="121"/>
      <c r="K54" s="119"/>
      <c r="L54" s="119"/>
    </row>
    <row r="55" spans="1:12" x14ac:dyDescent="0.25">
      <c r="A55" s="111">
        <f t="shared" si="1"/>
        <v>45</v>
      </c>
      <c r="C55" s="2" t="s">
        <v>1</v>
      </c>
      <c r="E55" s="31">
        <f>SUM(E48:E54)</f>
        <v>25195910</v>
      </c>
      <c r="F55" s="31"/>
      <c r="G55" s="31">
        <f>SUM(G48:G54)</f>
        <v>25195910</v>
      </c>
      <c r="H55" s="31">
        <f>SUM(H48:H54)</f>
        <v>0</v>
      </c>
      <c r="I55" s="31"/>
      <c r="J55" s="121"/>
      <c r="K55" s="3">
        <f>SUM(K48:K54)</f>
        <v>12606767.478566697</v>
      </c>
      <c r="L55" s="3">
        <f>SUM(L48:L54)</f>
        <v>12589142.521433303</v>
      </c>
    </row>
    <row r="56" spans="1:12" x14ac:dyDescent="0.25">
      <c r="A56" s="111">
        <f t="shared" si="1"/>
        <v>46</v>
      </c>
      <c r="C56" s="2" t="s">
        <v>200</v>
      </c>
      <c r="E56" s="31"/>
      <c r="F56" s="97">
        <f>IFERROR(+F50/$E50,0)</f>
        <v>0</v>
      </c>
      <c r="G56" s="97">
        <f>IFERROR(+G50/$E50,0)</f>
        <v>1</v>
      </c>
      <c r="H56" s="97">
        <f>IFERROR(+H50/$E50,0)</f>
        <v>0</v>
      </c>
      <c r="I56" s="31"/>
      <c r="J56" s="121"/>
      <c r="K56" s="97">
        <f>IFERROR(+K50/($G50),0)</f>
        <v>9.0531344206524603E-2</v>
      </c>
      <c r="L56" s="97">
        <f>IFERROR(+L50/($G50),0)</f>
        <v>0.90946865579347536</v>
      </c>
    </row>
    <row r="57" spans="1:12" x14ac:dyDescent="0.25">
      <c r="A57" s="111">
        <f t="shared" si="1"/>
        <v>47</v>
      </c>
      <c r="C57" s="2" t="s">
        <v>201</v>
      </c>
      <c r="E57" s="31"/>
      <c r="F57" s="97">
        <f>IFERROR((F55-F48)/($E55-$E48),0)</f>
        <v>0</v>
      </c>
      <c r="G57" s="97">
        <f>IFERROR((G55-G48)/($E55-$E48),0)</f>
        <v>1</v>
      </c>
      <c r="H57" s="97">
        <f>IFERROR((H55-H48)/($E55-$E48),0)</f>
        <v>0</v>
      </c>
      <c r="I57" s="31"/>
      <c r="J57" s="121"/>
      <c r="K57" s="97">
        <f>IFERROR(SUM(K49:K54)/SUM(G49:G54),0)</f>
        <v>0.50034975829675121</v>
      </c>
      <c r="L57" s="97">
        <f>IFERROR(SUM(L49:L54)/SUM(G49:G54),0)</f>
        <v>0.49965024170324879</v>
      </c>
    </row>
    <row r="58" spans="1:12" x14ac:dyDescent="0.25">
      <c r="A58" s="111">
        <f t="shared" si="1"/>
        <v>48</v>
      </c>
    </row>
    <row r="59" spans="1:12" x14ac:dyDescent="0.25">
      <c r="A59" s="111">
        <f t="shared" si="1"/>
        <v>49</v>
      </c>
      <c r="C59" s="114" t="s">
        <v>169</v>
      </c>
    </row>
    <row r="60" spans="1:12" x14ac:dyDescent="0.25">
      <c r="A60" s="111">
        <f t="shared" si="1"/>
        <v>50</v>
      </c>
      <c r="B60" s="2">
        <v>350</v>
      </c>
      <c r="C60" s="2" t="s">
        <v>34</v>
      </c>
      <c r="E60" s="31">
        <f>+G60+H60</f>
        <v>157326</v>
      </c>
      <c r="F60" s="31"/>
      <c r="G60" s="134">
        <v>157326</v>
      </c>
      <c r="H60" s="135"/>
      <c r="J60" s="3">
        <v>16</v>
      </c>
      <c r="K60" s="3">
        <f>VLOOKUP($J60,AF!$B$15:$F$21,4)*$G60</f>
        <v>33006.504353510325</v>
      </c>
      <c r="L60" s="3">
        <f>VLOOKUP($J60,AF!$B$15:$F$21,5)*$G60</f>
        <v>124319.49564648968</v>
      </c>
    </row>
    <row r="61" spans="1:12" x14ac:dyDescent="0.25">
      <c r="A61" s="111">
        <f t="shared" si="1"/>
        <v>51</v>
      </c>
      <c r="B61" s="2">
        <v>352</v>
      </c>
      <c r="C61" s="2" t="s">
        <v>35</v>
      </c>
      <c r="E61" s="31">
        <f t="shared" ref="E61:E66" si="5">+G61+H61</f>
        <v>0</v>
      </c>
      <c r="F61" s="31"/>
      <c r="G61" s="134">
        <v>0</v>
      </c>
      <c r="H61" s="135"/>
      <c r="J61" s="3"/>
      <c r="K61" s="3"/>
      <c r="L61" s="3"/>
    </row>
    <row r="62" spans="1:12" x14ac:dyDescent="0.25">
      <c r="A62" s="111">
        <f t="shared" si="1"/>
        <v>52</v>
      </c>
      <c r="B62" s="2">
        <v>353</v>
      </c>
      <c r="C62" s="2" t="s">
        <v>36</v>
      </c>
      <c r="E62" s="31">
        <f t="shared" si="5"/>
        <v>34254801</v>
      </c>
      <c r="F62" s="31"/>
      <c r="G62" s="134">
        <v>34254801</v>
      </c>
      <c r="H62" s="135"/>
      <c r="J62" s="3">
        <v>13</v>
      </c>
      <c r="K62" s="3">
        <f>VLOOKUP($J62,AF!$B$15:$F$21,4)*$G62</f>
        <v>3101133.1800570036</v>
      </c>
      <c r="L62" s="3">
        <f>VLOOKUP($J62,AF!$B$15:$F$21,5)*$G62</f>
        <v>31153667.819942996</v>
      </c>
    </row>
    <row r="63" spans="1:12" x14ac:dyDescent="0.25">
      <c r="A63" s="111">
        <f t="shared" si="1"/>
        <v>53</v>
      </c>
      <c r="B63" s="2">
        <v>353</v>
      </c>
      <c r="C63" s="2" t="s">
        <v>43</v>
      </c>
      <c r="E63" s="31">
        <f t="shared" si="5"/>
        <v>0</v>
      </c>
      <c r="F63" s="31"/>
      <c r="G63" s="134">
        <v>0</v>
      </c>
      <c r="H63" s="135"/>
      <c r="J63" s="3"/>
      <c r="K63" s="3"/>
      <c r="L63" s="3"/>
    </row>
    <row r="64" spans="1:12" x14ac:dyDescent="0.25">
      <c r="A64" s="111">
        <f t="shared" si="1"/>
        <v>54</v>
      </c>
      <c r="B64" s="2">
        <v>355</v>
      </c>
      <c r="C64" s="2" t="s">
        <v>37</v>
      </c>
      <c r="E64" s="31">
        <f t="shared" si="5"/>
        <v>2583151</v>
      </c>
      <c r="F64" s="31"/>
      <c r="G64" s="134">
        <v>2583151</v>
      </c>
      <c r="H64" s="135"/>
      <c r="J64" s="3">
        <v>10</v>
      </c>
      <c r="K64" s="3">
        <f>VLOOKUP($J64,AF!$B$15:$F$21,4)*$G64</f>
        <v>2583151</v>
      </c>
      <c r="L64" s="3">
        <f>VLOOKUP($J64,AF!$B$15:$F$21,5)*$G64</f>
        <v>0</v>
      </c>
    </row>
    <row r="65" spans="1:12" x14ac:dyDescent="0.25">
      <c r="A65" s="111">
        <f t="shared" si="1"/>
        <v>55</v>
      </c>
      <c r="B65" s="2">
        <v>356</v>
      </c>
      <c r="C65" s="2" t="s">
        <v>92</v>
      </c>
      <c r="E65" s="31">
        <f t="shared" si="5"/>
        <v>2586934</v>
      </c>
      <c r="F65" s="31"/>
      <c r="G65" s="134">
        <v>2586934</v>
      </c>
      <c r="H65" s="135"/>
      <c r="J65" s="3">
        <v>10</v>
      </c>
      <c r="K65" s="3">
        <f>VLOOKUP($J65,AF!$B$15:$F$21,4)*$G65</f>
        <v>2586934</v>
      </c>
      <c r="L65" s="3">
        <f>VLOOKUP($J65,AF!$B$15:$F$21,5)*$G65</f>
        <v>0</v>
      </c>
    </row>
    <row r="66" spans="1:12" x14ac:dyDescent="0.25">
      <c r="A66" s="111">
        <f t="shared" si="1"/>
        <v>56</v>
      </c>
      <c r="B66" s="2">
        <v>359</v>
      </c>
      <c r="C66" s="2" t="s">
        <v>38</v>
      </c>
      <c r="E66" s="117">
        <f t="shared" si="5"/>
        <v>0</v>
      </c>
      <c r="F66" s="117"/>
      <c r="G66" s="183"/>
      <c r="H66" s="30"/>
      <c r="J66" s="121"/>
      <c r="K66" s="119"/>
      <c r="L66" s="119"/>
    </row>
    <row r="67" spans="1:12" x14ac:dyDescent="0.25">
      <c r="A67" s="111">
        <f t="shared" si="1"/>
        <v>57</v>
      </c>
      <c r="C67" s="2" t="s">
        <v>1</v>
      </c>
      <c r="E67" s="31">
        <f>SUM(E60:E66)</f>
        <v>39582212</v>
      </c>
      <c r="F67" s="31"/>
      <c r="G67" s="31">
        <f>SUM(G60:G66)</f>
        <v>39582212</v>
      </c>
      <c r="H67" s="31">
        <f>SUM(H60:H66)</f>
        <v>0</v>
      </c>
      <c r="I67" s="31"/>
      <c r="J67" s="121"/>
      <c r="K67" s="3">
        <f>IFERROR(SUM(K60:K66),0)</f>
        <v>8304224.6844105143</v>
      </c>
      <c r="L67" s="3">
        <f>IFERROR(SUM(L60:L66),0)</f>
        <v>31277987.315589484</v>
      </c>
    </row>
    <row r="68" spans="1:12" x14ac:dyDescent="0.25">
      <c r="A68" s="111">
        <f t="shared" si="1"/>
        <v>58</v>
      </c>
      <c r="C68" s="2" t="s">
        <v>200</v>
      </c>
      <c r="E68" s="31"/>
      <c r="F68" s="97">
        <f>IFERROR(+F62/$E62,0)</f>
        <v>0</v>
      </c>
      <c r="G68" s="97">
        <f>IFERROR(+G62/$E62,0)</f>
        <v>1</v>
      </c>
      <c r="H68" s="97">
        <f>IFERROR(+H62/$E62,0)</f>
        <v>0</v>
      </c>
      <c r="I68" s="31"/>
      <c r="J68" s="121"/>
      <c r="K68" s="97">
        <f>IFERROR(+K62/($G62),0)</f>
        <v>9.0531344206524617E-2</v>
      </c>
      <c r="L68" s="97">
        <f>IFERROR(+L62/($G62),0)</f>
        <v>0.90946865579347536</v>
      </c>
    </row>
    <row r="69" spans="1:12" x14ac:dyDescent="0.25">
      <c r="A69" s="111">
        <f t="shared" si="1"/>
        <v>59</v>
      </c>
      <c r="C69" s="2" t="s">
        <v>201</v>
      </c>
      <c r="E69" s="31"/>
      <c r="F69" s="97">
        <f>IFERROR((F67-F60)/($E67-$E60),0)</f>
        <v>0</v>
      </c>
      <c r="G69" s="97">
        <f>IFERROR((G67-G60)/($E67-$E60),0)</f>
        <v>1</v>
      </c>
      <c r="H69" s="97">
        <f>IFERROR((H67-H60)/($E67-$E60),0)</f>
        <v>0</v>
      </c>
      <c r="I69" s="31"/>
      <c r="J69" s="121"/>
      <c r="K69" s="97">
        <f>IFERROR(SUM(K61:K66)/SUM(G61:G66),0)</f>
        <v>0.20979688261006016</v>
      </c>
      <c r="L69" s="97">
        <f>IFERROR(SUM(L61:L66)/SUM(G61:G66),0)</f>
        <v>0.79020311738993987</v>
      </c>
    </row>
    <row r="70" spans="1:12" x14ac:dyDescent="0.25">
      <c r="A70" s="111">
        <f t="shared" si="1"/>
        <v>60</v>
      </c>
    </row>
    <row r="71" spans="1:12" x14ac:dyDescent="0.25">
      <c r="A71" s="111">
        <f t="shared" si="1"/>
        <v>61</v>
      </c>
      <c r="C71" s="114" t="s">
        <v>30</v>
      </c>
    </row>
    <row r="72" spans="1:12" x14ac:dyDescent="0.25">
      <c r="A72" s="111">
        <f t="shared" si="1"/>
        <v>62</v>
      </c>
      <c r="B72" s="2">
        <v>350</v>
      </c>
      <c r="C72" s="2" t="s">
        <v>34</v>
      </c>
      <c r="E72" s="135"/>
    </row>
    <row r="73" spans="1:12" x14ac:dyDescent="0.25">
      <c r="A73" s="111">
        <f t="shared" si="1"/>
        <v>63</v>
      </c>
      <c r="B73" s="2">
        <v>352</v>
      </c>
      <c r="C73" s="2" t="s">
        <v>35</v>
      </c>
      <c r="E73" s="135"/>
    </row>
    <row r="74" spans="1:12" x14ac:dyDescent="0.25">
      <c r="A74" s="111">
        <f t="shared" si="1"/>
        <v>64</v>
      </c>
      <c r="B74" s="2">
        <v>353</v>
      </c>
      <c r="C74" s="2" t="s">
        <v>36</v>
      </c>
      <c r="E74" s="134">
        <v>423689</v>
      </c>
      <c r="F74" s="3">
        <f>+E74</f>
        <v>423689</v>
      </c>
    </row>
    <row r="75" spans="1:12" x14ac:dyDescent="0.25">
      <c r="A75" s="111">
        <f t="shared" si="1"/>
        <v>65</v>
      </c>
      <c r="B75" s="2">
        <v>353</v>
      </c>
      <c r="C75" s="2" t="s">
        <v>43</v>
      </c>
      <c r="E75" s="134">
        <v>4803852</v>
      </c>
      <c r="F75" s="3">
        <f>+E75</f>
        <v>4803852</v>
      </c>
      <c r="G75" s="3"/>
      <c r="H75" s="3"/>
    </row>
    <row r="76" spans="1:12" x14ac:dyDescent="0.25">
      <c r="A76" s="111">
        <f t="shared" si="1"/>
        <v>66</v>
      </c>
      <c r="B76" s="2">
        <v>355</v>
      </c>
      <c r="C76" s="2" t="s">
        <v>37</v>
      </c>
      <c r="E76" s="135"/>
    </row>
    <row r="77" spans="1:12" x14ac:dyDescent="0.25">
      <c r="A77" s="111">
        <f t="shared" ref="A77:A93" si="6">+A76+1</f>
        <v>67</v>
      </c>
      <c r="B77" s="2">
        <v>356</v>
      </c>
      <c r="C77" s="2" t="s">
        <v>92</v>
      </c>
      <c r="E77" s="135"/>
    </row>
    <row r="78" spans="1:12" x14ac:dyDescent="0.25">
      <c r="A78" s="111">
        <f t="shared" si="6"/>
        <v>68</v>
      </c>
      <c r="B78" s="2">
        <v>359</v>
      </c>
      <c r="C78" s="2" t="s">
        <v>38</v>
      </c>
      <c r="E78" s="30"/>
      <c r="F78" s="30"/>
      <c r="G78" s="30"/>
      <c r="H78" s="30"/>
    </row>
    <row r="79" spans="1:12" x14ac:dyDescent="0.25">
      <c r="A79" s="111">
        <f t="shared" si="6"/>
        <v>69</v>
      </c>
      <c r="C79" s="2" t="s">
        <v>1</v>
      </c>
      <c r="E79" s="31">
        <f>SUM(E72:E78)</f>
        <v>5227541</v>
      </c>
      <c r="F79" s="31">
        <f>SUM(F72:F78)</f>
        <v>5227541</v>
      </c>
      <c r="G79" s="31">
        <f>SUM(G72:G78)</f>
        <v>0</v>
      </c>
      <c r="H79" s="31">
        <f>SUM(H72:H78)</f>
        <v>0</v>
      </c>
      <c r="I79" s="31"/>
    </row>
    <row r="80" spans="1:12" x14ac:dyDescent="0.25">
      <c r="A80" s="111">
        <f t="shared" si="6"/>
        <v>70</v>
      </c>
      <c r="C80" s="2" t="s">
        <v>200</v>
      </c>
      <c r="E80" s="31"/>
      <c r="F80" s="97"/>
      <c r="G80" s="97"/>
      <c r="H80" s="97"/>
      <c r="I80" s="31"/>
      <c r="J80" s="121"/>
      <c r="K80" s="97"/>
      <c r="L80" s="97"/>
    </row>
    <row r="81" spans="1:12" x14ac:dyDescent="0.25">
      <c r="A81" s="111">
        <f t="shared" si="6"/>
        <v>71</v>
      </c>
      <c r="C81" s="2" t="s">
        <v>201</v>
      </c>
      <c r="E81" s="31"/>
      <c r="F81" s="97">
        <f>IFERROR((F79-F72)/($E79-$E72),0)</f>
        <v>1</v>
      </c>
      <c r="G81" s="97">
        <f>IFERROR((G79-G72)/($E79-$E72),0)</f>
        <v>0</v>
      </c>
      <c r="H81" s="97">
        <f>IFERROR((H79-H72)/($E79-$E72),0)</f>
        <v>0</v>
      </c>
      <c r="I81" s="31"/>
      <c r="J81" s="121"/>
      <c r="K81" s="97"/>
      <c r="L81" s="97"/>
    </row>
    <row r="82" spans="1:12" x14ac:dyDescent="0.25">
      <c r="A82" s="111">
        <f t="shared" si="6"/>
        <v>72</v>
      </c>
    </row>
    <row r="83" spans="1:12" x14ac:dyDescent="0.25">
      <c r="A83" s="111">
        <f t="shared" si="6"/>
        <v>73</v>
      </c>
      <c r="C83" s="114" t="s">
        <v>1</v>
      </c>
    </row>
    <row r="84" spans="1:12" x14ac:dyDescent="0.25">
      <c r="A84" s="111">
        <f t="shared" si="6"/>
        <v>74</v>
      </c>
      <c r="B84" s="2">
        <v>350</v>
      </c>
      <c r="C84" s="2" t="s">
        <v>34</v>
      </c>
      <c r="E84" s="31">
        <f t="shared" ref="E84:E90" si="7">+E11+E24+E36+E48+E60+E72</f>
        <v>363809</v>
      </c>
      <c r="F84" s="31">
        <f t="shared" ref="F84:H90" si="8">+F11+F24+F36+F48+F60+F72</f>
        <v>0</v>
      </c>
      <c r="G84" s="31">
        <f t="shared" si="8"/>
        <v>202630</v>
      </c>
      <c r="H84" s="31">
        <f t="shared" si="8"/>
        <v>161179</v>
      </c>
      <c r="I84" s="31"/>
      <c r="K84" s="31">
        <f t="shared" ref="K84:L90" si="9">+K11+K24+K36+K48+K60+K72</f>
        <v>64870.10653763634</v>
      </c>
      <c r="L84" s="31">
        <f t="shared" si="9"/>
        <v>136374.01040129873</v>
      </c>
    </row>
    <row r="85" spans="1:12" x14ac:dyDescent="0.25">
      <c r="A85" s="111">
        <f t="shared" si="6"/>
        <v>75</v>
      </c>
      <c r="B85" s="2">
        <v>352</v>
      </c>
      <c r="C85" s="2" t="s">
        <v>35</v>
      </c>
      <c r="E85" s="31">
        <f t="shared" si="7"/>
        <v>286</v>
      </c>
      <c r="F85" s="31">
        <f t="shared" si="8"/>
        <v>0</v>
      </c>
      <c r="G85" s="31">
        <f t="shared" si="8"/>
        <v>0</v>
      </c>
      <c r="H85" s="31">
        <f t="shared" si="8"/>
        <v>286</v>
      </c>
      <c r="I85" s="31"/>
      <c r="K85" s="31">
        <f t="shared" si="9"/>
        <v>0</v>
      </c>
      <c r="L85" s="31">
        <f t="shared" si="9"/>
        <v>0</v>
      </c>
    </row>
    <row r="86" spans="1:12" x14ac:dyDescent="0.25">
      <c r="A86" s="111">
        <f t="shared" si="6"/>
        <v>76</v>
      </c>
      <c r="B86" s="2">
        <v>353</v>
      </c>
      <c r="C86" s="2" t="s">
        <v>36</v>
      </c>
      <c r="E86" s="31">
        <f t="shared" si="7"/>
        <v>60877895</v>
      </c>
      <c r="F86" s="31">
        <f t="shared" si="8"/>
        <v>423689</v>
      </c>
      <c r="G86" s="31">
        <f t="shared" si="8"/>
        <v>49455181</v>
      </c>
      <c r="H86" s="31">
        <f t="shared" si="8"/>
        <v>10999025</v>
      </c>
      <c r="I86" s="31"/>
      <c r="K86" s="31">
        <f t="shared" si="9"/>
        <v>4477244.0139069762</v>
      </c>
      <c r="L86" s="31">
        <f t="shared" si="9"/>
        <v>44977936.986093022</v>
      </c>
    </row>
    <row r="87" spans="1:12" x14ac:dyDescent="0.25">
      <c r="A87" s="111">
        <f t="shared" si="6"/>
        <v>77</v>
      </c>
      <c r="B87" s="2">
        <v>353</v>
      </c>
      <c r="C87" s="2" t="s">
        <v>43</v>
      </c>
      <c r="E87" s="31">
        <f t="shared" si="7"/>
        <v>5332082</v>
      </c>
      <c r="F87" s="31">
        <f t="shared" si="8"/>
        <v>4803852</v>
      </c>
      <c r="G87" s="31">
        <f t="shared" si="8"/>
        <v>142000</v>
      </c>
      <c r="H87" s="31">
        <f t="shared" si="8"/>
        <v>386230</v>
      </c>
      <c r="I87" s="31"/>
      <c r="K87" s="31">
        <f t="shared" si="9"/>
        <v>0</v>
      </c>
      <c r="L87" s="31">
        <f t="shared" si="9"/>
        <v>0</v>
      </c>
    </row>
    <row r="88" spans="1:12" x14ac:dyDescent="0.25">
      <c r="A88" s="111">
        <f t="shared" si="6"/>
        <v>78</v>
      </c>
      <c r="B88" s="2">
        <v>355</v>
      </c>
      <c r="C88" s="2" t="s">
        <v>37</v>
      </c>
      <c r="E88" s="31">
        <f t="shared" si="7"/>
        <v>17398512</v>
      </c>
      <c r="F88" s="31">
        <f t="shared" si="8"/>
        <v>0</v>
      </c>
      <c r="G88" s="31">
        <f t="shared" si="8"/>
        <v>15414572</v>
      </c>
      <c r="H88" s="31">
        <f t="shared" si="8"/>
        <v>1983940</v>
      </c>
      <c r="I88" s="31"/>
      <c r="K88" s="31">
        <f t="shared" si="9"/>
        <v>15414572</v>
      </c>
      <c r="L88" s="31">
        <f t="shared" si="9"/>
        <v>0</v>
      </c>
    </row>
    <row r="89" spans="1:12" x14ac:dyDescent="0.25">
      <c r="A89" s="111">
        <f t="shared" si="6"/>
        <v>79</v>
      </c>
      <c r="B89" s="2">
        <v>356</v>
      </c>
      <c r="C89" s="2" t="s">
        <v>92</v>
      </c>
      <c r="E89" s="31">
        <f t="shared" si="7"/>
        <v>5863227</v>
      </c>
      <c r="F89" s="31">
        <f t="shared" si="8"/>
        <v>0</v>
      </c>
      <c r="G89" s="31">
        <f t="shared" si="8"/>
        <v>4250970</v>
      </c>
      <c r="H89" s="31">
        <f t="shared" si="8"/>
        <v>1612257</v>
      </c>
      <c r="I89" s="31"/>
      <c r="K89" s="31">
        <f t="shared" si="9"/>
        <v>4250970</v>
      </c>
      <c r="L89" s="31">
        <f t="shared" si="9"/>
        <v>0</v>
      </c>
    </row>
    <row r="90" spans="1:12" x14ac:dyDescent="0.25">
      <c r="A90" s="111">
        <f t="shared" si="6"/>
        <v>80</v>
      </c>
      <c r="B90" s="2">
        <v>359</v>
      </c>
      <c r="C90" s="2" t="s">
        <v>38</v>
      </c>
      <c r="E90" s="122">
        <f t="shared" si="7"/>
        <v>3260</v>
      </c>
      <c r="F90" s="122">
        <f t="shared" si="8"/>
        <v>0</v>
      </c>
      <c r="G90" s="122">
        <f t="shared" si="8"/>
        <v>0</v>
      </c>
      <c r="H90" s="122">
        <f t="shared" si="8"/>
        <v>3260</v>
      </c>
      <c r="I90" s="31"/>
      <c r="K90" s="122">
        <f t="shared" si="9"/>
        <v>0</v>
      </c>
      <c r="L90" s="122">
        <f t="shared" si="9"/>
        <v>0</v>
      </c>
    </row>
    <row r="91" spans="1:12" x14ac:dyDescent="0.25">
      <c r="A91" s="111">
        <f t="shared" si="6"/>
        <v>81</v>
      </c>
      <c r="C91" s="2" t="s">
        <v>1</v>
      </c>
      <c r="E91" s="31">
        <f>SUM(E84:E90)</f>
        <v>89839071</v>
      </c>
      <c r="F91" s="31">
        <f>SUM(F84:F90)</f>
        <v>5227541</v>
      </c>
      <c r="G91" s="31">
        <f>SUM(G84:G90)</f>
        <v>69465353</v>
      </c>
      <c r="H91" s="31">
        <f>SUM(H84:H90)</f>
        <v>15146177</v>
      </c>
      <c r="I91" s="31"/>
      <c r="K91" s="31">
        <f>SUM(K84:K90)</f>
        <v>24207656.120444611</v>
      </c>
      <c r="L91" s="31">
        <f>SUM(L84:L90)</f>
        <v>45114310.996494323</v>
      </c>
    </row>
    <row r="92" spans="1:12" x14ac:dyDescent="0.25">
      <c r="A92" s="111">
        <f t="shared" si="6"/>
        <v>82</v>
      </c>
      <c r="C92" s="2" t="s">
        <v>200</v>
      </c>
      <c r="E92" s="31"/>
      <c r="F92" s="97">
        <f>IFERROR(+F86/$E86,0)</f>
        <v>6.9596525963980848E-3</v>
      </c>
      <c r="G92" s="97">
        <f t="shared" ref="G92:H92" si="10">IFERROR(+G86/$E86,0)</f>
        <v>0.8123668040756008</v>
      </c>
      <c r="H92" s="97">
        <f t="shared" si="10"/>
        <v>0.18067354332800106</v>
      </c>
      <c r="I92" s="31"/>
      <c r="J92" s="121"/>
      <c r="K92" s="97">
        <f>IFERROR(+K86/($G86),0)</f>
        <v>9.0531344206524617E-2</v>
      </c>
      <c r="L92" s="97">
        <f>IFERROR(+L86/($G86),0)</f>
        <v>0.90946865579347536</v>
      </c>
    </row>
    <row r="93" spans="1:12" x14ac:dyDescent="0.25">
      <c r="A93" s="111">
        <f t="shared" si="6"/>
        <v>83</v>
      </c>
      <c r="C93" s="2" t="s">
        <v>201</v>
      </c>
      <c r="E93" s="31"/>
      <c r="F93" s="97">
        <f>IFERROR((F91-F84)/($E91-$E84),0)</f>
        <v>5.8424427972057796E-2</v>
      </c>
      <c r="G93" s="97">
        <f t="shared" ref="G93:H93" si="11">IFERROR((G91-G84)/($E91-$E84),0)</f>
        <v>0.77409913591535506</v>
      </c>
      <c r="H93" s="97">
        <f t="shared" si="11"/>
        <v>0.1674764361125872</v>
      </c>
      <c r="I93" s="31"/>
      <c r="J93" s="121"/>
      <c r="K93" s="97">
        <f>IFERROR((K91-K84)/($G91-$G84),0)</f>
        <v>0.34856824808789244</v>
      </c>
      <c r="L93" s="97">
        <f>IFERROR((L91-L84)/($G91-$G84),0)</f>
        <v>0.64938158706369398</v>
      </c>
    </row>
  </sheetData>
  <mergeCells count="2">
    <mergeCell ref="B1:L1"/>
    <mergeCell ref="B2:L2"/>
  </mergeCells>
  <pageMargins left="0.7" right="0.7" top="0.75" bottom="0.75" header="0.3" footer="0.3"/>
  <pageSetup scale="60" orientation="landscape" r:id="rId1"/>
  <headerFooter>
    <oddHeader xml:space="preserve">&amp;RSchedule C1.0
</oddHeader>
    <oddFooter>&amp;L&amp;Z&amp;F&amp;R&amp;D</oddFooter>
  </headerFooter>
  <rowBreaks count="1" manualBreakCount="1">
    <brk id="57" max="11" man="1"/>
  </rowBreaks>
  <ignoredErrors>
    <ignoredError sqref="K20:L21 K69:L6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04"/>
  <sheetViews>
    <sheetView zoomScaleNormal="100" workbookViewId="0"/>
  </sheetViews>
  <sheetFormatPr defaultRowHeight="12.75" x14ac:dyDescent="0.2"/>
  <cols>
    <col min="1" max="1" width="4.5703125" style="73" customWidth="1"/>
    <col min="2" max="2" width="7.140625" style="73" customWidth="1"/>
    <col min="3" max="3" width="36.42578125" style="73" customWidth="1"/>
    <col min="4" max="4" width="14.5703125" style="73" bestFit="1" customWidth="1"/>
    <col min="5" max="5" width="12" style="73" bestFit="1" customWidth="1"/>
    <col min="6" max="6" width="19.5703125" style="73" customWidth="1"/>
    <col min="7" max="7" width="12" style="73" bestFit="1" customWidth="1"/>
    <col min="8" max="8" width="10" style="73" bestFit="1" customWidth="1"/>
    <col min="9" max="9" width="12" style="73" bestFit="1" customWidth="1"/>
    <col min="10" max="10" width="9.85546875" style="73" bestFit="1" customWidth="1"/>
    <col min="11" max="11" width="8.7109375" style="73" bestFit="1" customWidth="1"/>
    <col min="12" max="12" width="9.140625" style="73"/>
    <col min="13" max="13" width="10" style="73" bestFit="1" customWidth="1"/>
    <col min="14" max="14" width="9.140625" style="73"/>
    <col min="15" max="15" width="12.42578125" style="73" bestFit="1" customWidth="1"/>
    <col min="16" max="16" width="9.140625" style="73"/>
    <col min="17" max="17" width="12.42578125" style="73" bestFit="1" customWidth="1"/>
    <col min="18" max="16384" width="9.140625" style="73"/>
  </cols>
  <sheetData>
    <row r="1" spans="1:13" ht="12.95" customHeight="1" x14ac:dyDescent="0.2">
      <c r="B1" s="189" t="s">
        <v>33</v>
      </c>
      <c r="C1" s="189"/>
      <c r="D1" s="189"/>
      <c r="E1" s="189"/>
      <c r="F1" s="189"/>
      <c r="G1" s="189"/>
      <c r="H1" s="189"/>
      <c r="I1" s="189"/>
      <c r="J1" s="189"/>
      <c r="K1" s="189"/>
    </row>
    <row r="2" spans="1:13" ht="12.95" customHeight="1" x14ac:dyDescent="0.2">
      <c r="B2" s="189" t="s">
        <v>458</v>
      </c>
      <c r="C2" s="189"/>
      <c r="D2" s="189"/>
      <c r="E2" s="189"/>
      <c r="F2" s="189"/>
      <c r="G2" s="189"/>
      <c r="H2" s="189"/>
      <c r="I2" s="189"/>
      <c r="J2" s="189"/>
      <c r="K2" s="189"/>
    </row>
    <row r="3" spans="1:13" ht="12.95" customHeight="1" x14ac:dyDescent="0.2"/>
    <row r="4" spans="1:13" ht="12.95" customHeight="1" x14ac:dyDescent="0.2">
      <c r="B4" s="74" t="s">
        <v>421</v>
      </c>
      <c r="E4" s="75" t="s">
        <v>221</v>
      </c>
      <c r="F4" s="75" t="s">
        <v>222</v>
      </c>
      <c r="G4" s="75" t="s">
        <v>223</v>
      </c>
      <c r="H4" s="75" t="s">
        <v>224</v>
      </c>
      <c r="I4" s="75" t="s">
        <v>225</v>
      </c>
      <c r="J4" s="75" t="s">
        <v>226</v>
      </c>
      <c r="K4" s="75" t="s">
        <v>227</v>
      </c>
      <c r="L4" s="75"/>
      <c r="M4" s="75"/>
    </row>
    <row r="5" spans="1:13" ht="12.95" customHeight="1" x14ac:dyDescent="0.2">
      <c r="E5" s="75"/>
      <c r="F5" s="75"/>
      <c r="G5" s="75"/>
      <c r="H5" s="189" t="s">
        <v>298</v>
      </c>
      <c r="I5" s="189"/>
      <c r="J5" s="189"/>
      <c r="K5" s="189"/>
    </row>
    <row r="6" spans="1:13" ht="12.95" customHeight="1" x14ac:dyDescent="0.2">
      <c r="E6" s="75"/>
      <c r="F6" s="75"/>
      <c r="G6" s="75"/>
      <c r="H6" s="190" t="s">
        <v>229</v>
      </c>
      <c r="I6" s="190"/>
      <c r="J6" s="190"/>
      <c r="K6" s="190"/>
    </row>
    <row r="7" spans="1:13" ht="12.95" customHeight="1" x14ac:dyDescent="0.2">
      <c r="E7" s="75" t="s">
        <v>1</v>
      </c>
      <c r="F7" s="43" t="s">
        <v>181</v>
      </c>
      <c r="G7" s="43" t="s">
        <v>113</v>
      </c>
      <c r="H7" s="43" t="s">
        <v>32</v>
      </c>
      <c r="I7" s="43" t="s">
        <v>28</v>
      </c>
      <c r="J7" s="43" t="s">
        <v>25</v>
      </c>
      <c r="K7" s="43" t="s">
        <v>24</v>
      </c>
    </row>
    <row r="8" spans="1:13" ht="12.95" customHeight="1" x14ac:dyDescent="0.2">
      <c r="B8" s="76"/>
      <c r="C8" s="76"/>
      <c r="E8" s="29" t="s">
        <v>117</v>
      </c>
      <c r="F8" s="29" t="s">
        <v>31</v>
      </c>
      <c r="G8" s="29" t="s">
        <v>31</v>
      </c>
      <c r="H8" s="29" t="s">
        <v>127</v>
      </c>
      <c r="I8" s="29" t="s">
        <v>127</v>
      </c>
      <c r="J8" s="29" t="s">
        <v>127</v>
      </c>
      <c r="K8" s="29" t="s">
        <v>127</v>
      </c>
    </row>
    <row r="9" spans="1:13" ht="12.95" customHeight="1" x14ac:dyDescent="0.2">
      <c r="A9" s="75">
        <v>1</v>
      </c>
      <c r="B9" s="77" t="s">
        <v>44</v>
      </c>
      <c r="C9" s="77"/>
      <c r="E9" s="29"/>
    </row>
    <row r="10" spans="1:13" ht="12.95" customHeight="1" x14ac:dyDescent="0.2">
      <c r="A10" s="75">
        <f>+A9+1</f>
        <v>2</v>
      </c>
      <c r="B10" s="73">
        <v>547</v>
      </c>
      <c r="C10" s="73" t="s">
        <v>45</v>
      </c>
      <c r="D10" s="73" t="s">
        <v>47</v>
      </c>
      <c r="E10" s="110">
        <v>17379927</v>
      </c>
      <c r="F10" s="75">
        <v>100</v>
      </c>
      <c r="G10" s="78">
        <f>VLOOKUP($F10,AF!$B$25:$I$31,4)*$E10</f>
        <v>17379927</v>
      </c>
      <c r="H10" s="78">
        <f>VLOOKUP($F10,AF!$B$25:$I$31,5)*$E10</f>
        <v>0</v>
      </c>
      <c r="I10" s="78">
        <f>VLOOKUP($F10,AF!$B$25:$I$31,6)*$E10</f>
        <v>0</v>
      </c>
      <c r="J10" s="78">
        <f>VLOOKUP($F10,AF!$B$25:$I$31,7)*$E10</f>
        <v>0</v>
      </c>
      <c r="K10" s="78">
        <f>VLOOKUP($F10,AF!$B$25:$I$31,8)*$E10</f>
        <v>0</v>
      </c>
    </row>
    <row r="11" spans="1:13" ht="12.95" customHeight="1" x14ac:dyDescent="0.2">
      <c r="A11" s="75">
        <f t="shared" ref="A11:A74" si="0">+A10+1</f>
        <v>3</v>
      </c>
      <c r="B11" s="73">
        <v>548</v>
      </c>
      <c r="C11" s="73" t="s">
        <v>46</v>
      </c>
      <c r="D11" s="73" t="s">
        <v>48</v>
      </c>
      <c r="E11" s="145">
        <v>746689</v>
      </c>
      <c r="F11" s="75">
        <v>100</v>
      </c>
      <c r="G11" s="79">
        <f>VLOOKUP($F11,AF!$B$25:$I$31,4)*$E11</f>
        <v>746689</v>
      </c>
      <c r="H11" s="79">
        <f>VLOOKUP($F11,AF!$B$25:$I$31,5)*$E11</f>
        <v>0</v>
      </c>
      <c r="I11" s="79">
        <f>VLOOKUP($F11,AF!$B$25:$I$31,6)*$E11</f>
        <v>0</v>
      </c>
      <c r="J11" s="79">
        <f>VLOOKUP($F11,AF!$B$25:$I$31,7)*$E11</f>
        <v>0</v>
      </c>
      <c r="K11" s="79">
        <f>VLOOKUP($F11,AF!$B$25:$I$31,8)*$E11</f>
        <v>0</v>
      </c>
    </row>
    <row r="12" spans="1:13" ht="12.95" customHeight="1" x14ac:dyDescent="0.2">
      <c r="A12" s="75">
        <f t="shared" si="0"/>
        <v>4</v>
      </c>
      <c r="C12" s="73" t="s">
        <v>1</v>
      </c>
      <c r="E12" s="98">
        <f>SUM(E10:E11)</f>
        <v>18126616</v>
      </c>
      <c r="F12" s="75"/>
      <c r="G12" s="80">
        <f>SUM(G10:G11)</f>
        <v>18126616</v>
      </c>
      <c r="H12" s="78">
        <f t="shared" ref="H12:K12" si="1">SUM(H10:H11)</f>
        <v>0</v>
      </c>
      <c r="I12" s="78">
        <f t="shared" si="1"/>
        <v>0</v>
      </c>
      <c r="J12" s="78">
        <f t="shared" si="1"/>
        <v>0</v>
      </c>
      <c r="K12" s="78">
        <f t="shared" si="1"/>
        <v>0</v>
      </c>
    </row>
    <row r="13" spans="1:13" ht="12.95" customHeight="1" x14ac:dyDescent="0.2">
      <c r="A13" s="75">
        <f t="shared" si="0"/>
        <v>5</v>
      </c>
      <c r="E13" s="81"/>
      <c r="F13" s="75"/>
      <c r="H13" s="78"/>
      <c r="I13" s="78"/>
      <c r="J13" s="78"/>
      <c r="K13" s="78"/>
    </row>
    <row r="14" spans="1:13" ht="12.95" customHeight="1" x14ac:dyDescent="0.2">
      <c r="A14" s="75">
        <f t="shared" si="0"/>
        <v>6</v>
      </c>
      <c r="B14" s="77" t="s">
        <v>49</v>
      </c>
      <c r="C14" s="77"/>
      <c r="E14" s="81"/>
      <c r="F14" s="75"/>
      <c r="H14" s="78"/>
      <c r="I14" s="78"/>
      <c r="J14" s="78"/>
      <c r="K14" s="78"/>
    </row>
    <row r="15" spans="1:13" ht="12.95" customHeight="1" x14ac:dyDescent="0.2">
      <c r="A15" s="75">
        <f t="shared" si="0"/>
        <v>7</v>
      </c>
      <c r="B15" s="73">
        <v>555</v>
      </c>
      <c r="C15" s="81" t="s">
        <v>50</v>
      </c>
      <c r="D15" s="81" t="s">
        <v>51</v>
      </c>
      <c r="E15" s="110">
        <v>152714332</v>
      </c>
      <c r="F15" s="75">
        <v>100</v>
      </c>
      <c r="G15" s="78">
        <f>VLOOKUP($F15,AF!$B$25:$I$31,4)*$E15</f>
        <v>152714332</v>
      </c>
      <c r="H15" s="78">
        <f>VLOOKUP($F15,AF!$B$25:$I$31,5)*$E15</f>
        <v>0</v>
      </c>
      <c r="I15" s="78">
        <f>VLOOKUP($F15,AF!$B$25:$I$31,6)*$E15</f>
        <v>0</v>
      </c>
      <c r="J15" s="78">
        <f>VLOOKUP($F15,AF!$B$25:$I$31,7)*$E15</f>
        <v>0</v>
      </c>
      <c r="K15" s="78">
        <f>VLOOKUP($F15,AF!$B$25:$I$31,8)*$E15</f>
        <v>0</v>
      </c>
    </row>
    <row r="16" spans="1:13" ht="12.95" customHeight="1" x14ac:dyDescent="0.2">
      <c r="A16" s="75">
        <f t="shared" si="0"/>
        <v>8</v>
      </c>
      <c r="B16" s="73">
        <v>556</v>
      </c>
      <c r="C16" s="81" t="s">
        <v>43</v>
      </c>
      <c r="D16" s="81" t="s">
        <v>417</v>
      </c>
      <c r="E16" s="110">
        <f>546162-E17</f>
        <v>546162</v>
      </c>
      <c r="F16" s="75">
        <v>103</v>
      </c>
      <c r="G16" s="78">
        <f>VLOOKUP($F16,AF!$B$25:$I$31,4)*$E16</f>
        <v>449679.12302839116</v>
      </c>
      <c r="H16" s="78">
        <f>VLOOKUP($F16,AF!$B$25:$I$31,5)*$E16</f>
        <v>96482.876971608843</v>
      </c>
      <c r="I16" s="78">
        <f>VLOOKUP($F16,AF!$B$25:$I$31,6)*$E16</f>
        <v>10337.451104100946</v>
      </c>
      <c r="J16" s="78">
        <f>VLOOKUP($F16,AF!$B$25:$I$31,7)*$E16</f>
        <v>3445.8170347003152</v>
      </c>
      <c r="K16" s="78">
        <f>VLOOKUP($F16,AF!$B$25:$I$31,8)*$E16</f>
        <v>31012.353312302839</v>
      </c>
    </row>
    <row r="17" spans="1:11" ht="12.95" customHeight="1" x14ac:dyDescent="0.2">
      <c r="A17" s="75">
        <f t="shared" si="0"/>
        <v>9</v>
      </c>
      <c r="B17" s="73">
        <v>556</v>
      </c>
      <c r="C17" s="81" t="s">
        <v>115</v>
      </c>
      <c r="D17" s="81"/>
      <c r="E17" s="110">
        <v>0</v>
      </c>
      <c r="F17" s="75">
        <v>104</v>
      </c>
      <c r="G17" s="78">
        <f>VLOOKUP($F17,AF!$B$25:$I$31,4)*$E17</f>
        <v>0</v>
      </c>
      <c r="H17" s="78">
        <f>VLOOKUP($F17,AF!$B$25:$I$31,5)*$E17</f>
        <v>0</v>
      </c>
      <c r="I17" s="78">
        <f>VLOOKUP($F17,AF!$B$25:$I$31,6)*$E17</f>
        <v>0</v>
      </c>
      <c r="J17" s="78">
        <f>VLOOKUP($F17,AF!$B$25:$I$31,7)*$E17</f>
        <v>0</v>
      </c>
      <c r="K17" s="78">
        <f>VLOOKUP($F17,AF!$B$25:$I$31,8)*$E17</f>
        <v>0</v>
      </c>
    </row>
    <row r="18" spans="1:11" ht="12.95" customHeight="1" x14ac:dyDescent="0.2">
      <c r="A18" s="75">
        <f t="shared" si="0"/>
        <v>10</v>
      </c>
      <c r="B18" s="73">
        <v>557</v>
      </c>
      <c r="C18" s="81" t="s">
        <v>185</v>
      </c>
      <c r="D18" s="81" t="s">
        <v>59</v>
      </c>
      <c r="E18" s="145">
        <v>978132</v>
      </c>
      <c r="F18" s="75">
        <v>100</v>
      </c>
      <c r="G18" s="79">
        <f>VLOOKUP($F18,AF!$B$25:$I$31,4)*$E18</f>
        <v>978132</v>
      </c>
      <c r="H18" s="79">
        <f>VLOOKUP($F18,AF!$B$25:$I$31,5)*$E18</f>
        <v>0</v>
      </c>
      <c r="I18" s="79">
        <f>VLOOKUP($F18,AF!$B$25:$I$31,6)*$E18</f>
        <v>0</v>
      </c>
      <c r="J18" s="79">
        <f>VLOOKUP($F18,AF!$B$25:$I$31,7)*$E18</f>
        <v>0</v>
      </c>
      <c r="K18" s="79">
        <f>VLOOKUP($F18,AF!$B$25:$I$31,8)*$E18</f>
        <v>0</v>
      </c>
    </row>
    <row r="19" spans="1:11" ht="12.95" customHeight="1" x14ac:dyDescent="0.2">
      <c r="A19" s="75">
        <f t="shared" si="0"/>
        <v>11</v>
      </c>
      <c r="C19" s="81" t="s">
        <v>1</v>
      </c>
      <c r="D19" s="81"/>
      <c r="E19" s="98">
        <f>SUM(E15:E18)</f>
        <v>154238626</v>
      </c>
      <c r="F19" s="75"/>
      <c r="G19" s="78">
        <f>SUM(G15:G18)</f>
        <v>154142143.1230284</v>
      </c>
      <c r="H19" s="78">
        <f t="shared" ref="H19:K19" si="2">SUM(H15:H18)</f>
        <v>96482.876971608843</v>
      </c>
      <c r="I19" s="78">
        <f t="shared" si="2"/>
        <v>10337.451104100946</v>
      </c>
      <c r="J19" s="78">
        <f t="shared" si="2"/>
        <v>3445.8170347003152</v>
      </c>
      <c r="K19" s="78">
        <f t="shared" si="2"/>
        <v>31012.353312302839</v>
      </c>
    </row>
    <row r="20" spans="1:11" ht="12.95" customHeight="1" x14ac:dyDescent="0.2">
      <c r="A20" s="75">
        <f t="shared" si="0"/>
        <v>12</v>
      </c>
      <c r="C20" s="81"/>
      <c r="D20" s="81"/>
      <c r="E20" s="81"/>
      <c r="F20" s="75"/>
      <c r="H20" s="78"/>
      <c r="I20" s="78"/>
      <c r="J20" s="78"/>
      <c r="K20" s="78"/>
    </row>
    <row r="21" spans="1:11" ht="12.95" customHeight="1" x14ac:dyDescent="0.2">
      <c r="A21" s="75">
        <f t="shared" si="0"/>
        <v>13</v>
      </c>
      <c r="B21" s="77" t="s">
        <v>52</v>
      </c>
      <c r="C21" s="82"/>
      <c r="D21" s="81"/>
      <c r="E21" s="81"/>
      <c r="F21" s="75"/>
      <c r="H21" s="78"/>
      <c r="I21" s="78"/>
      <c r="J21" s="78"/>
      <c r="K21" s="78"/>
    </row>
    <row r="22" spans="1:11" ht="12.95" customHeight="1" x14ac:dyDescent="0.2">
      <c r="A22" s="75">
        <f t="shared" si="0"/>
        <v>14</v>
      </c>
      <c r="B22" s="73">
        <v>560</v>
      </c>
      <c r="C22" s="81" t="s">
        <v>53</v>
      </c>
      <c r="D22" s="81" t="s">
        <v>55</v>
      </c>
      <c r="E22" s="110">
        <v>189923</v>
      </c>
      <c r="F22" s="75">
        <v>105</v>
      </c>
      <c r="G22" s="78">
        <f>VLOOKUP($F22,AF!$B$25:$I$31,4)*$E22</f>
        <v>189560.85782743993</v>
      </c>
      <c r="H22" s="78">
        <f>VLOOKUP($F22,AF!$B$25:$I$31,5)*$E22</f>
        <v>362.14217256006827</v>
      </c>
      <c r="I22" s="78">
        <f>VLOOKUP($F22,AF!$B$25:$I$31,6)*$E22</f>
        <v>16.898280845005672</v>
      </c>
      <c r="J22" s="78">
        <f>VLOOKUP($F22,AF!$B$25:$I$31,7)*$E22</f>
        <v>0</v>
      </c>
      <c r="K22" s="78">
        <f>VLOOKUP($F22,AF!$B$25:$I$31,8)*$E22</f>
        <v>345.2438917150626</v>
      </c>
    </row>
    <row r="23" spans="1:11" ht="12.95" customHeight="1" x14ac:dyDescent="0.2">
      <c r="A23" s="75">
        <f t="shared" si="0"/>
        <v>15</v>
      </c>
      <c r="B23" s="73">
        <v>561</v>
      </c>
      <c r="C23" s="81" t="s">
        <v>376</v>
      </c>
      <c r="D23" s="81" t="s">
        <v>56</v>
      </c>
      <c r="E23" s="110">
        <v>215136</v>
      </c>
      <c r="F23" s="75" t="s">
        <v>384</v>
      </c>
      <c r="G23" s="78">
        <f>+E23-H23</f>
        <v>207944.2959379064</v>
      </c>
      <c r="H23" s="78">
        <f>+TransExp!J82</f>
        <v>7191.7040620935941</v>
      </c>
      <c r="I23" s="78">
        <f>+TransExp!J10</f>
        <v>0</v>
      </c>
      <c r="J23" s="78">
        <f>+TransExp!J46</f>
        <v>0</v>
      </c>
      <c r="K23" s="78">
        <f>+TransExp!J58</f>
        <v>7191.7040620935941</v>
      </c>
    </row>
    <row r="24" spans="1:11" ht="12.95" customHeight="1" x14ac:dyDescent="0.2">
      <c r="A24" s="75">
        <f t="shared" si="0"/>
        <v>16</v>
      </c>
      <c r="B24" s="73">
        <v>562</v>
      </c>
      <c r="C24" s="81" t="s">
        <v>398</v>
      </c>
      <c r="D24" s="81" t="s">
        <v>57</v>
      </c>
      <c r="E24" s="110">
        <v>1866</v>
      </c>
      <c r="F24" s="75" t="s">
        <v>385</v>
      </c>
      <c r="G24" s="78">
        <f>+E24-H24</f>
        <v>1697.0857126660244</v>
      </c>
      <c r="H24" s="78">
        <f>+TransExp!J83</f>
        <v>168.91428733397569</v>
      </c>
      <c r="I24" s="78">
        <f>+TransExp!J11</f>
        <v>0</v>
      </c>
      <c r="J24" s="78">
        <f>+TransExp!J47</f>
        <v>0</v>
      </c>
      <c r="K24" s="78">
        <f>+TransExp!J59</f>
        <v>168.91428733397569</v>
      </c>
    </row>
    <row r="25" spans="1:11" ht="12.95" customHeight="1" x14ac:dyDescent="0.2">
      <c r="A25" s="75">
        <f t="shared" si="0"/>
        <v>17</v>
      </c>
      <c r="B25" s="73">
        <v>562</v>
      </c>
      <c r="C25" s="81" t="s">
        <v>173</v>
      </c>
      <c r="D25" s="81"/>
      <c r="E25" s="137">
        <f>+E85</f>
        <v>0</v>
      </c>
      <c r="F25" s="75">
        <v>104</v>
      </c>
      <c r="G25" s="78">
        <f>VLOOKUP($F25,AF!$B$25:$I$31,4)*$E25</f>
        <v>0</v>
      </c>
      <c r="H25" s="78">
        <f>VLOOKUP($F25,AF!$B$25:$I$31,5)*$E25</f>
        <v>0</v>
      </c>
      <c r="I25" s="78">
        <f>VLOOKUP($F25,AF!$B$25:$I$31,6)*$E25</f>
        <v>0</v>
      </c>
      <c r="J25" s="78">
        <f>VLOOKUP($F25,AF!$B$25:$I$31,7)*$E25</f>
        <v>0</v>
      </c>
      <c r="K25" s="78">
        <f>VLOOKUP($F25,AF!$B$25:$I$31,8)*$E25</f>
        <v>0</v>
      </c>
    </row>
    <row r="26" spans="1:11" ht="12.95" customHeight="1" x14ac:dyDescent="0.2">
      <c r="A26" s="75">
        <f t="shared" si="0"/>
        <v>18</v>
      </c>
      <c r="B26" s="73">
        <v>565</v>
      </c>
      <c r="C26" s="81" t="s">
        <v>54</v>
      </c>
      <c r="D26" s="81" t="s">
        <v>58</v>
      </c>
      <c r="E26" s="145">
        <v>52156361</v>
      </c>
      <c r="F26" s="75">
        <v>100</v>
      </c>
      <c r="G26" s="79">
        <f>VLOOKUP($F26,AF!$B$25:$I$31,4)*$E26</f>
        <v>52156361</v>
      </c>
      <c r="H26" s="79">
        <f>VLOOKUP($F26,AF!$B$25:$I$31,5)*$E26</f>
        <v>0</v>
      </c>
      <c r="I26" s="79">
        <f>VLOOKUP($F26,AF!$B$25:$I$31,6)*$E26</f>
        <v>0</v>
      </c>
      <c r="J26" s="79">
        <f>VLOOKUP($F26,AF!$B$25:$I$31,7)*$E26</f>
        <v>0</v>
      </c>
      <c r="K26" s="79">
        <f>VLOOKUP($F26,AF!$B$25:$I$31,8)*$E26</f>
        <v>0</v>
      </c>
    </row>
    <row r="27" spans="1:11" ht="12.95" customHeight="1" x14ac:dyDescent="0.2">
      <c r="A27" s="75">
        <f t="shared" si="0"/>
        <v>19</v>
      </c>
      <c r="C27" s="81" t="s">
        <v>1</v>
      </c>
      <c r="D27" s="81"/>
      <c r="E27" s="98">
        <f>SUM(E22:E26)</f>
        <v>52563286</v>
      </c>
      <c r="F27" s="75"/>
      <c r="G27" s="78">
        <f>SUM(G22:G26)</f>
        <v>52555563.239478014</v>
      </c>
      <c r="H27" s="78">
        <f>SUM(H22:H26)</f>
        <v>7722.7605219876386</v>
      </c>
      <c r="I27" s="78">
        <f t="shared" ref="I27:K27" si="3">SUM(I22:I26)</f>
        <v>16.898280845005672</v>
      </c>
      <c r="J27" s="78">
        <f t="shared" si="3"/>
        <v>0</v>
      </c>
      <c r="K27" s="78">
        <f t="shared" si="3"/>
        <v>7705.8622411426331</v>
      </c>
    </row>
    <row r="28" spans="1:11" ht="12.95" customHeight="1" x14ac:dyDescent="0.2">
      <c r="A28" s="75">
        <f t="shared" si="0"/>
        <v>20</v>
      </c>
      <c r="C28" s="81"/>
      <c r="D28" s="81"/>
      <c r="E28" s="81"/>
      <c r="F28" s="75"/>
      <c r="H28" s="78"/>
      <c r="I28" s="78"/>
      <c r="J28" s="78"/>
      <c r="K28" s="78"/>
    </row>
    <row r="29" spans="1:11" ht="12.95" customHeight="1" x14ac:dyDescent="0.2">
      <c r="A29" s="75">
        <f t="shared" si="0"/>
        <v>21</v>
      </c>
      <c r="B29" s="77" t="s">
        <v>84</v>
      </c>
      <c r="C29" s="82"/>
      <c r="D29" s="81"/>
      <c r="E29" s="81"/>
      <c r="F29" s="75"/>
      <c r="H29" s="78"/>
      <c r="I29" s="78"/>
      <c r="J29" s="78"/>
      <c r="K29" s="78"/>
    </row>
    <row r="30" spans="1:11" ht="12.95" customHeight="1" x14ac:dyDescent="0.2">
      <c r="A30" s="75">
        <f t="shared" si="0"/>
        <v>22</v>
      </c>
      <c r="B30" s="73">
        <v>570</v>
      </c>
      <c r="C30" s="81" t="s">
        <v>197</v>
      </c>
      <c r="D30" s="81" t="s">
        <v>85</v>
      </c>
      <c r="E30" s="110">
        <v>169246</v>
      </c>
      <c r="F30" s="75" t="s">
        <v>386</v>
      </c>
      <c r="G30" s="78">
        <f>+E30-H30</f>
        <v>129322.81</v>
      </c>
      <c r="H30" s="78">
        <f>+TransExp!J86</f>
        <v>39923.19</v>
      </c>
      <c r="I30" s="78">
        <f>+TransExp!J13</f>
        <v>0</v>
      </c>
      <c r="J30" s="78">
        <f>+TransExp!J49</f>
        <v>0</v>
      </c>
      <c r="K30" s="78">
        <f>+TransExp!J61</f>
        <v>39923.19</v>
      </c>
    </row>
    <row r="31" spans="1:11" ht="12.95" customHeight="1" x14ac:dyDescent="0.2">
      <c r="A31" s="75">
        <f t="shared" si="0"/>
        <v>23</v>
      </c>
      <c r="B31" s="73">
        <v>571</v>
      </c>
      <c r="C31" s="81" t="s">
        <v>198</v>
      </c>
      <c r="D31" s="81" t="s">
        <v>86</v>
      </c>
      <c r="E31" s="145">
        <v>101792</v>
      </c>
      <c r="F31" s="75" t="s">
        <v>387</v>
      </c>
      <c r="G31" s="79">
        <f>+E31-H31</f>
        <v>48694.297151397681</v>
      </c>
      <c r="H31" s="79">
        <f>+TransExp!J87</f>
        <v>53097.702848602319</v>
      </c>
      <c r="I31" s="79">
        <f>+TransExp!J14</f>
        <v>4684.0028486023148</v>
      </c>
      <c r="J31" s="79">
        <f>+TransExp!J50</f>
        <v>0</v>
      </c>
      <c r="K31" s="79">
        <f>+TransExp!J62</f>
        <v>48413.700000000004</v>
      </c>
    </row>
    <row r="32" spans="1:11" ht="12.95" customHeight="1" x14ac:dyDescent="0.2">
      <c r="A32" s="75">
        <f t="shared" si="0"/>
        <v>24</v>
      </c>
      <c r="C32" s="81" t="s">
        <v>1</v>
      </c>
      <c r="D32" s="81"/>
      <c r="E32" s="98">
        <f>SUM(E30:E31)</f>
        <v>271038</v>
      </c>
      <c r="F32" s="75"/>
      <c r="G32" s="78">
        <f>SUM(G30:G31)</f>
        <v>178017.10715139768</v>
      </c>
      <c r="H32" s="78">
        <f>SUM(H30:H31)</f>
        <v>93020.892848602321</v>
      </c>
      <c r="I32" s="78">
        <f t="shared" ref="I32:K32" si="4">SUM(I30:I31)</f>
        <v>4684.0028486023148</v>
      </c>
      <c r="J32" s="78">
        <f t="shared" si="4"/>
        <v>0</v>
      </c>
      <c r="K32" s="78">
        <f t="shared" si="4"/>
        <v>88336.890000000014</v>
      </c>
    </row>
    <row r="33" spans="1:17" ht="12.95" customHeight="1" thickBot="1" x14ac:dyDescent="0.25">
      <c r="A33" s="75">
        <f t="shared" si="0"/>
        <v>25</v>
      </c>
      <c r="C33" s="81"/>
      <c r="D33" s="81"/>
      <c r="E33" s="99"/>
      <c r="F33" s="75"/>
      <c r="G33" s="84"/>
      <c r="H33" s="85"/>
      <c r="I33" s="85"/>
      <c r="J33" s="85"/>
      <c r="K33" s="85"/>
    </row>
    <row r="34" spans="1:17" ht="12.95" customHeight="1" thickTop="1" x14ac:dyDescent="0.2">
      <c r="A34" s="75">
        <f t="shared" si="0"/>
        <v>26</v>
      </c>
      <c r="B34" s="73" t="s">
        <v>172</v>
      </c>
      <c r="C34" s="81"/>
      <c r="D34" s="81"/>
      <c r="E34" s="98">
        <f>+E27+E32</f>
        <v>52834324</v>
      </c>
      <c r="F34" s="75"/>
      <c r="G34" s="78">
        <f>+G27+G32</f>
        <v>52733580.346629411</v>
      </c>
      <c r="H34" s="78">
        <f>+H27+H32</f>
        <v>100743.65337058996</v>
      </c>
      <c r="I34" s="78">
        <f t="shared" ref="I34:K34" si="5">+I27+I32</f>
        <v>4700.9011294473203</v>
      </c>
      <c r="J34" s="78">
        <f t="shared" si="5"/>
        <v>0</v>
      </c>
      <c r="K34" s="78">
        <f t="shared" si="5"/>
        <v>96042.752241142647</v>
      </c>
    </row>
    <row r="35" spans="1:17" ht="12.95" customHeight="1" x14ac:dyDescent="0.2">
      <c r="A35" s="75">
        <f t="shared" si="0"/>
        <v>27</v>
      </c>
      <c r="C35" s="81"/>
      <c r="D35" s="81"/>
      <c r="E35" s="81"/>
      <c r="F35" s="75"/>
      <c r="H35" s="78"/>
      <c r="I35" s="78"/>
      <c r="J35" s="78"/>
      <c r="K35" s="78"/>
    </row>
    <row r="36" spans="1:17" ht="12.95" customHeight="1" x14ac:dyDescent="0.2">
      <c r="A36" s="75">
        <f t="shared" si="0"/>
        <v>28</v>
      </c>
      <c r="B36" s="77" t="s">
        <v>60</v>
      </c>
      <c r="C36" s="82"/>
      <c r="D36" s="81"/>
      <c r="E36" s="81"/>
      <c r="F36" s="75"/>
      <c r="H36" s="78"/>
      <c r="I36" s="78"/>
      <c r="J36" s="78"/>
      <c r="K36" s="78"/>
    </row>
    <row r="37" spans="1:17" ht="12.95" customHeight="1" x14ac:dyDescent="0.2">
      <c r="A37" s="75">
        <f t="shared" si="0"/>
        <v>29</v>
      </c>
      <c r="B37" s="73">
        <v>586</v>
      </c>
      <c r="C37" s="81" t="s">
        <v>61</v>
      </c>
      <c r="D37" s="81" t="s">
        <v>62</v>
      </c>
      <c r="E37" s="145">
        <v>38294</v>
      </c>
      <c r="F37" s="75">
        <v>103</v>
      </c>
      <c r="G37" s="79">
        <f>VLOOKUP($F37,AF!$B$25:$I$31,4)*$E37</f>
        <v>31529.129337539431</v>
      </c>
      <c r="H37" s="79">
        <f>VLOOKUP($F37,AF!$B$25:$I$31,5)*$E37</f>
        <v>6764.8706624605684</v>
      </c>
      <c r="I37" s="79">
        <f>VLOOKUP($F37,AF!$B$25:$I$31,6)*$E37</f>
        <v>724.80757097791798</v>
      </c>
      <c r="J37" s="79">
        <f>VLOOKUP($F37,AF!$B$25:$I$31,7)*$E37</f>
        <v>241.60252365930597</v>
      </c>
      <c r="K37" s="79">
        <f>VLOOKUP($F37,AF!$B$25:$I$31,8)*$E37</f>
        <v>2174.4227129337542</v>
      </c>
    </row>
    <row r="38" spans="1:17" ht="12.95" customHeight="1" x14ac:dyDescent="0.2">
      <c r="A38" s="75">
        <f t="shared" si="0"/>
        <v>30</v>
      </c>
      <c r="C38" s="81" t="s">
        <v>1</v>
      </c>
      <c r="D38" s="81"/>
      <c r="E38" s="98">
        <f>SUM(E37)</f>
        <v>38294</v>
      </c>
      <c r="F38" s="75"/>
      <c r="G38" s="78">
        <f t="shared" ref="G38:K38" si="6">SUM(G37)</f>
        <v>31529.129337539431</v>
      </c>
      <c r="H38" s="78">
        <f t="shared" si="6"/>
        <v>6764.8706624605684</v>
      </c>
      <c r="I38" s="78">
        <f t="shared" si="6"/>
        <v>724.80757097791798</v>
      </c>
      <c r="J38" s="78">
        <f t="shared" si="6"/>
        <v>241.60252365930597</v>
      </c>
      <c r="K38" s="78">
        <f t="shared" si="6"/>
        <v>2174.4227129337542</v>
      </c>
    </row>
    <row r="39" spans="1:17" ht="12.95" customHeight="1" x14ac:dyDescent="0.2">
      <c r="A39" s="75">
        <f t="shared" si="0"/>
        <v>31</v>
      </c>
      <c r="C39" s="81"/>
      <c r="D39" s="81"/>
      <c r="E39" s="81"/>
      <c r="F39" s="75"/>
      <c r="H39" s="78"/>
      <c r="I39" s="78"/>
      <c r="J39" s="78"/>
      <c r="K39" s="78"/>
    </row>
    <row r="40" spans="1:17" ht="12.95" customHeight="1" x14ac:dyDescent="0.2">
      <c r="A40" s="75">
        <f t="shared" si="0"/>
        <v>32</v>
      </c>
      <c r="B40" s="77" t="s">
        <v>63</v>
      </c>
      <c r="C40" s="82"/>
      <c r="D40" s="81"/>
      <c r="E40" s="81"/>
      <c r="F40" s="75"/>
      <c r="H40" s="78"/>
      <c r="I40" s="78"/>
      <c r="J40" s="78"/>
      <c r="K40" s="78"/>
    </row>
    <row r="41" spans="1:17" ht="12.95" customHeight="1" x14ac:dyDescent="0.2">
      <c r="A41" s="75">
        <f t="shared" si="0"/>
        <v>33</v>
      </c>
      <c r="B41" s="73">
        <v>912</v>
      </c>
      <c r="C41" s="81" t="s">
        <v>64</v>
      </c>
      <c r="D41" s="81" t="s">
        <v>65</v>
      </c>
      <c r="E41" s="145">
        <v>0</v>
      </c>
      <c r="F41" s="75">
        <v>100</v>
      </c>
      <c r="G41" s="79">
        <f>VLOOKUP($F41,AF!$B$25:$I$31,4)*$E41</f>
        <v>0</v>
      </c>
      <c r="H41" s="79">
        <f>VLOOKUP($F41,AF!$B$25:$I$31,5)*$E41</f>
        <v>0</v>
      </c>
      <c r="I41" s="79">
        <f>VLOOKUP($F41,AF!$B$25:$I$31,6)*$E41</f>
        <v>0</v>
      </c>
      <c r="J41" s="79">
        <f>VLOOKUP($F41,AF!$B$25:$I$31,7)*$E41</f>
        <v>0</v>
      </c>
      <c r="K41" s="79">
        <f>VLOOKUP($F41,AF!$B$25:$I$31,8)*$E41</f>
        <v>0</v>
      </c>
    </row>
    <row r="42" spans="1:17" ht="12.95" customHeight="1" x14ac:dyDescent="0.2">
      <c r="A42" s="75">
        <f t="shared" si="0"/>
        <v>34</v>
      </c>
      <c r="C42" s="81" t="s">
        <v>1</v>
      </c>
      <c r="D42" s="81"/>
      <c r="E42" s="83">
        <f>SUM(E41)</f>
        <v>0</v>
      </c>
      <c r="F42" s="75"/>
      <c r="G42" s="80">
        <f t="shared" ref="G42:K42" si="7">SUM(G41)</f>
        <v>0</v>
      </c>
      <c r="H42" s="78">
        <f t="shared" si="7"/>
        <v>0</v>
      </c>
      <c r="I42" s="78">
        <f t="shared" si="7"/>
        <v>0</v>
      </c>
      <c r="J42" s="78">
        <f t="shared" si="7"/>
        <v>0</v>
      </c>
      <c r="K42" s="78">
        <f t="shared" si="7"/>
        <v>0</v>
      </c>
    </row>
    <row r="43" spans="1:17" x14ac:dyDescent="0.2">
      <c r="A43" s="75">
        <f t="shared" si="0"/>
        <v>35</v>
      </c>
      <c r="C43" s="81"/>
      <c r="D43" s="81"/>
      <c r="E43" s="81"/>
      <c r="F43" s="75"/>
      <c r="H43" s="78"/>
      <c r="I43" s="78"/>
      <c r="J43" s="78"/>
      <c r="K43" s="78"/>
    </row>
    <row r="44" spans="1:17" ht="12.95" customHeight="1" x14ac:dyDescent="0.2">
      <c r="A44" s="75">
        <f t="shared" si="0"/>
        <v>36</v>
      </c>
      <c r="B44" s="77" t="s">
        <v>66</v>
      </c>
      <c r="C44" s="82"/>
      <c r="D44" s="81"/>
      <c r="E44" s="81"/>
      <c r="F44" s="75"/>
      <c r="H44" s="78"/>
      <c r="I44" s="78"/>
      <c r="J44" s="78"/>
      <c r="K44" s="78"/>
    </row>
    <row r="45" spans="1:17" ht="12.95" customHeight="1" x14ac:dyDescent="0.2">
      <c r="A45" s="75">
        <f t="shared" si="0"/>
        <v>37</v>
      </c>
      <c r="B45" s="73">
        <v>920</v>
      </c>
      <c r="C45" s="81" t="s">
        <v>67</v>
      </c>
      <c r="D45" s="81" t="s">
        <v>73</v>
      </c>
      <c r="E45" s="110">
        <v>8936263</v>
      </c>
      <c r="F45" s="75">
        <v>106</v>
      </c>
      <c r="G45" s="78">
        <f>VLOOKUP($F45,AF!$B$25:$I$31,4)*$E45</f>
        <v>8919223.4750483725</v>
      </c>
      <c r="H45" s="78">
        <f>VLOOKUP($F45,AF!$B$25:$I$31,5)*$E45</f>
        <v>17039.524951628573</v>
      </c>
      <c r="I45" s="78">
        <f>VLOOKUP($F45,AF!$B$25:$I$31,6)*$E45</f>
        <v>795.09844452137395</v>
      </c>
      <c r="J45" s="78">
        <f>VLOOKUP($F45,AF!$B$25:$I$31,7)*$E45</f>
        <v>0</v>
      </c>
      <c r="K45" s="78">
        <f>VLOOKUP($F45,AF!$B$25:$I$31,8)*$E45</f>
        <v>16244.426507107199</v>
      </c>
    </row>
    <row r="46" spans="1:17" ht="12.95" customHeight="1" x14ac:dyDescent="0.2">
      <c r="A46" s="75">
        <f t="shared" si="0"/>
        <v>38</v>
      </c>
      <c r="B46" s="73">
        <v>921</v>
      </c>
      <c r="C46" s="81" t="s">
        <v>454</v>
      </c>
      <c r="D46" s="81" t="s">
        <v>74</v>
      </c>
      <c r="E46" s="110">
        <v>3074656</v>
      </c>
      <c r="F46" s="75">
        <v>106</v>
      </c>
      <c r="G46" s="78">
        <f>VLOOKUP($F46,AF!$B$25:$I$31,4)*$E46</f>
        <v>3068793.2945682472</v>
      </c>
      <c r="H46" s="78">
        <f>VLOOKUP($F46,AF!$B$25:$I$31,5)*$E46</f>
        <v>5862.7054317531274</v>
      </c>
      <c r="I46" s="78">
        <f>VLOOKUP($F46,AF!$B$25:$I$31,6)*$E46</f>
        <v>273.56560600760179</v>
      </c>
      <c r="J46" s="78">
        <f>VLOOKUP($F46,AF!$B$25:$I$31,7)*$E46</f>
        <v>0</v>
      </c>
      <c r="K46" s="78">
        <f>VLOOKUP($F46,AF!$B$25:$I$31,8)*$E46</f>
        <v>5589.1398257455257</v>
      </c>
    </row>
    <row r="47" spans="1:17" ht="12.95" customHeight="1" x14ac:dyDescent="0.2">
      <c r="A47" s="75">
        <f t="shared" si="0"/>
        <v>39</v>
      </c>
      <c r="B47" s="73">
        <v>922</v>
      </c>
      <c r="C47" s="81" t="s">
        <v>68</v>
      </c>
      <c r="D47" s="81" t="s">
        <v>75</v>
      </c>
      <c r="E47" s="110">
        <v>-141718</v>
      </c>
      <c r="F47" s="75">
        <v>106</v>
      </c>
      <c r="G47" s="78">
        <f>VLOOKUP($F47,AF!$B$25:$I$31,4)*$E47</f>
        <v>-141447.77435902515</v>
      </c>
      <c r="H47" s="78">
        <f>VLOOKUP($F47,AF!$B$25:$I$31,5)*$E47</f>
        <v>-270.22564097485696</v>
      </c>
      <c r="I47" s="78">
        <f>VLOOKUP($F47,AF!$B$25:$I$31,6)*$E47</f>
        <v>-12.609270940289031</v>
      </c>
      <c r="J47" s="78">
        <f>VLOOKUP($F47,AF!$B$25:$I$31,7)*$E47</f>
        <v>0</v>
      </c>
      <c r="K47" s="78">
        <f>VLOOKUP($F47,AF!$B$25:$I$31,8)*$E47</f>
        <v>-257.61637003456792</v>
      </c>
      <c r="O47" s="108"/>
      <c r="Q47" s="109"/>
    </row>
    <row r="48" spans="1:17" ht="12.95" customHeight="1" x14ac:dyDescent="0.2">
      <c r="A48" s="75">
        <f t="shared" si="0"/>
        <v>40</v>
      </c>
      <c r="B48" s="73">
        <v>923</v>
      </c>
      <c r="C48" s="81" t="s">
        <v>82</v>
      </c>
      <c r="D48" s="81" t="s">
        <v>76</v>
      </c>
      <c r="E48" s="110">
        <v>6635891</v>
      </c>
      <c r="F48" s="75">
        <v>106</v>
      </c>
      <c r="G48" s="78">
        <f>VLOOKUP($F48,AF!$B$25:$I$31,4)*$E48</f>
        <v>6623237.787995073</v>
      </c>
      <c r="H48" s="78">
        <f>VLOOKUP($F48,AF!$B$25:$I$31,5)*$E48</f>
        <v>12653.21200492728</v>
      </c>
      <c r="I48" s="78">
        <f>VLOOKUP($F48,AF!$B$25:$I$31,6)*$E48</f>
        <v>590.42427602157466</v>
      </c>
      <c r="J48" s="78">
        <f>VLOOKUP($F48,AF!$B$25:$I$31,7)*$E48</f>
        <v>0</v>
      </c>
      <c r="K48" s="78">
        <f>VLOOKUP($F48,AF!$B$25:$I$31,8)*$E48</f>
        <v>12062.787728905707</v>
      </c>
      <c r="O48" s="108"/>
    </row>
    <row r="49" spans="1:15" ht="12.95" customHeight="1" x14ac:dyDescent="0.2">
      <c r="A49" s="75">
        <f t="shared" si="0"/>
        <v>41</v>
      </c>
      <c r="B49" s="73">
        <v>924</v>
      </c>
      <c r="C49" s="81" t="s">
        <v>69</v>
      </c>
      <c r="D49" s="81" t="s">
        <v>418</v>
      </c>
      <c r="E49" s="110">
        <f>2322007-E50</f>
        <v>2086261.8599999999</v>
      </c>
      <c r="F49" s="75">
        <v>106</v>
      </c>
      <c r="G49" s="78">
        <f>VLOOKUP($F49,AF!$B$25:$I$31,4)*$E49</f>
        <v>2082283.8088818647</v>
      </c>
      <c r="H49" s="78">
        <f>VLOOKUP($F49,AF!$B$25:$I$31,5)*$E49</f>
        <v>3978.0511181352913</v>
      </c>
      <c r="I49" s="78">
        <f>VLOOKUP($F49,AF!$B$25:$I$31,6)*$E49</f>
        <v>185.62385191105818</v>
      </c>
      <c r="J49" s="78">
        <f>VLOOKUP($F49,AF!$B$25:$I$31,7)*$E49</f>
        <v>0</v>
      </c>
      <c r="K49" s="78">
        <f>VLOOKUP($F49,AF!$B$25:$I$31,8)*$E49</f>
        <v>3792.4272662242333</v>
      </c>
      <c r="M49" s="98"/>
      <c r="O49" s="108"/>
    </row>
    <row r="50" spans="1:15" ht="12.95" customHeight="1" x14ac:dyDescent="0.2">
      <c r="A50" s="75">
        <f t="shared" si="0"/>
        <v>42</v>
      </c>
      <c r="B50" s="73">
        <v>924</v>
      </c>
      <c r="C50" s="81" t="s">
        <v>186</v>
      </c>
      <c r="D50" s="81"/>
      <c r="E50" s="110">
        <v>235745.14</v>
      </c>
      <c r="F50" s="75" t="s">
        <v>401</v>
      </c>
      <c r="G50" s="78">
        <f>+E50-H50</f>
        <v>151336.67982120684</v>
      </c>
      <c r="H50" s="78">
        <f>+TransExp!J88</f>
        <v>84408.460178793161</v>
      </c>
      <c r="I50" s="78">
        <f>+TransExp!J15</f>
        <v>894.60394940064998</v>
      </c>
      <c r="J50" s="78">
        <f>+TransExp!J51</f>
        <v>2776.2821830497132</v>
      </c>
      <c r="K50" s="78">
        <f>+TransExp!J63</f>
        <v>80737.574046342794</v>
      </c>
      <c r="O50" s="108"/>
    </row>
    <row r="51" spans="1:15" ht="12.95" customHeight="1" x14ac:dyDescent="0.2">
      <c r="A51" s="75">
        <f t="shared" si="0"/>
        <v>43</v>
      </c>
      <c r="B51" s="73">
        <v>926</v>
      </c>
      <c r="C51" s="81" t="s">
        <v>70</v>
      </c>
      <c r="D51" s="81" t="s">
        <v>77</v>
      </c>
      <c r="E51" s="110">
        <v>4658431</v>
      </c>
      <c r="F51" s="75">
        <v>106</v>
      </c>
      <c r="G51" s="78">
        <f>VLOOKUP($F51,AF!$B$25:$I$31,4)*$E51</f>
        <v>4649548.3774473807</v>
      </c>
      <c r="H51" s="78">
        <f>VLOOKUP($F51,AF!$B$25:$I$31,5)*$E51</f>
        <v>8882.6225526195958</v>
      </c>
      <c r="I51" s="78">
        <f>VLOOKUP($F51,AF!$B$25:$I$31,6)*$E51</f>
        <v>414.48100195911297</v>
      </c>
      <c r="J51" s="78">
        <f>VLOOKUP($F51,AF!$B$25:$I$31,7)*$E51</f>
        <v>0</v>
      </c>
      <c r="K51" s="78">
        <f>VLOOKUP($F51,AF!$B$25:$I$31,8)*$E51</f>
        <v>8468.1415506604826</v>
      </c>
      <c r="O51" s="108"/>
    </row>
    <row r="52" spans="1:15" ht="12.95" customHeight="1" x14ac:dyDescent="0.2">
      <c r="A52" s="75">
        <f t="shared" si="0"/>
        <v>44</v>
      </c>
      <c r="B52" s="73">
        <v>930.1</v>
      </c>
      <c r="C52" s="81" t="s">
        <v>71</v>
      </c>
      <c r="D52" s="81" t="s">
        <v>78</v>
      </c>
      <c r="E52" s="110">
        <v>364749</v>
      </c>
      <c r="F52" s="75">
        <v>106</v>
      </c>
      <c r="G52" s="78">
        <f>VLOOKUP($F52,AF!$B$25:$I$31,4)*$E52</f>
        <v>364053.50237570429</v>
      </c>
      <c r="H52" s="78">
        <f>VLOOKUP($F52,AF!$B$25:$I$31,5)*$E52</f>
        <v>695.49762429570058</v>
      </c>
      <c r="I52" s="78">
        <f>VLOOKUP($F52,AF!$B$25:$I$31,6)*$E52</f>
        <v>32.453315501202979</v>
      </c>
      <c r="J52" s="78">
        <f>VLOOKUP($F52,AF!$B$25:$I$31,7)*$E52</f>
        <v>0</v>
      </c>
      <c r="K52" s="78">
        <f>VLOOKUP($F52,AF!$B$25:$I$31,8)*$E52</f>
        <v>663.04430879449762</v>
      </c>
      <c r="O52" s="108"/>
    </row>
    <row r="53" spans="1:15" ht="12.95" customHeight="1" x14ac:dyDescent="0.2">
      <c r="A53" s="75">
        <f t="shared" si="0"/>
        <v>45</v>
      </c>
      <c r="B53" s="73">
        <v>930.2</v>
      </c>
      <c r="C53" s="73" t="s">
        <v>81</v>
      </c>
      <c r="D53" s="73" t="s">
        <v>79</v>
      </c>
      <c r="E53" s="110">
        <v>1225171</v>
      </c>
      <c r="F53" s="75">
        <v>106</v>
      </c>
      <c r="G53" s="78">
        <f>VLOOKUP($F53,AF!$B$25:$I$31,4)*$E53</f>
        <v>1222834.8633146191</v>
      </c>
      <c r="H53" s="78">
        <f>VLOOKUP($F53,AF!$B$25:$I$31,5)*$E53</f>
        <v>2336.1366853808722</v>
      </c>
      <c r="I53" s="78">
        <f>VLOOKUP($F53,AF!$B$25:$I$31,6)*$E53</f>
        <v>109.00882800480427</v>
      </c>
      <c r="J53" s="78">
        <f>VLOOKUP($F53,AF!$B$25:$I$31,7)*$E53</f>
        <v>0</v>
      </c>
      <c r="K53" s="78">
        <f>VLOOKUP($F53,AF!$B$25:$I$31,8)*$E53</f>
        <v>2227.1278573760678</v>
      </c>
      <c r="O53" s="108"/>
    </row>
    <row r="54" spans="1:15" ht="12.95" customHeight="1" x14ac:dyDescent="0.2">
      <c r="A54" s="75">
        <f t="shared" si="0"/>
        <v>46</v>
      </c>
      <c r="B54" s="73">
        <v>931</v>
      </c>
      <c r="C54" s="73" t="s">
        <v>72</v>
      </c>
      <c r="D54" s="73" t="s">
        <v>80</v>
      </c>
      <c r="E54" s="145">
        <v>593795</v>
      </c>
      <c r="F54" s="75">
        <v>106</v>
      </c>
      <c r="G54" s="79">
        <f>VLOOKUP($F54,AF!$B$25:$I$31,4)*$E54</f>
        <v>592662.76108551724</v>
      </c>
      <c r="H54" s="79">
        <f>VLOOKUP($F54,AF!$B$25:$I$31,5)*$E54</f>
        <v>1132.2389144827416</v>
      </c>
      <c r="I54" s="79">
        <f>VLOOKUP($F54,AF!$B$25:$I$31,6)*$E54</f>
        <v>52.832540947437344</v>
      </c>
      <c r="J54" s="79">
        <f>VLOOKUP($F54,AF!$B$25:$I$31,7)*$E54</f>
        <v>0</v>
      </c>
      <c r="K54" s="79">
        <f>VLOOKUP($F54,AF!$B$25:$I$31,8)*$E54</f>
        <v>1079.4063735353043</v>
      </c>
      <c r="O54" s="108"/>
    </row>
    <row r="55" spans="1:15" ht="12.95" customHeight="1" x14ac:dyDescent="0.2">
      <c r="A55" s="75">
        <f t="shared" si="0"/>
        <v>47</v>
      </c>
      <c r="C55" s="73" t="s">
        <v>1</v>
      </c>
      <c r="E55" s="98">
        <f>SUM(E45:E54)</f>
        <v>27669245</v>
      </c>
      <c r="F55" s="86"/>
      <c r="G55" s="78">
        <f t="shared" ref="G55" si="8">SUM(G45:G54)</f>
        <v>27532526.77617896</v>
      </c>
      <c r="H55" s="78">
        <f t="shared" ref="H55:K55" si="9">SUM(H45:H54)</f>
        <v>136718.22382104149</v>
      </c>
      <c r="I55" s="78">
        <f t="shared" si="9"/>
        <v>3335.4825433345272</v>
      </c>
      <c r="J55" s="78">
        <f>SUM(J45:J54)</f>
        <v>2776.2821830497132</v>
      </c>
      <c r="K55" s="78">
        <f t="shared" si="9"/>
        <v>130606.45909465724</v>
      </c>
      <c r="O55" s="108"/>
    </row>
    <row r="56" spans="1:15" ht="12.95" customHeight="1" thickBot="1" x14ac:dyDescent="0.25">
      <c r="A56" s="75">
        <f t="shared" si="0"/>
        <v>48</v>
      </c>
      <c r="E56" s="99"/>
      <c r="F56" s="75"/>
      <c r="G56" s="85"/>
      <c r="H56" s="85"/>
      <c r="I56" s="85"/>
      <c r="J56" s="85"/>
      <c r="K56" s="85"/>
      <c r="O56" s="108"/>
    </row>
    <row r="57" spans="1:15" ht="12.95" customHeight="1" thickTop="1" x14ac:dyDescent="0.2">
      <c r="A57" s="75">
        <f t="shared" si="0"/>
        <v>49</v>
      </c>
      <c r="B57" s="77" t="s">
        <v>83</v>
      </c>
      <c r="C57" s="77"/>
      <c r="E57" s="83">
        <f>+E12+E19+E27+E38+E42+E55+E32</f>
        <v>252907105</v>
      </c>
      <c r="F57" s="87">
        <f t="shared" ref="F57:K57" si="10">+F12+F19+F27+F38+F42+F55+F32</f>
        <v>0</v>
      </c>
      <c r="G57" s="78">
        <f t="shared" ref="G57" si="11">+G12+G19+G27+G38+G42+G55+G32</f>
        <v>252566395.37517431</v>
      </c>
      <c r="H57" s="78">
        <f t="shared" si="10"/>
        <v>340709.62482570088</v>
      </c>
      <c r="I57" s="78">
        <f t="shared" si="10"/>
        <v>19098.64234786071</v>
      </c>
      <c r="J57" s="78">
        <f t="shared" si="10"/>
        <v>6463.7017414093343</v>
      </c>
      <c r="K57" s="78">
        <f t="shared" si="10"/>
        <v>259835.98736103647</v>
      </c>
      <c r="O57" s="108"/>
    </row>
    <row r="58" spans="1:15" ht="12.95" customHeight="1" x14ac:dyDescent="0.2">
      <c r="A58" s="75">
        <f t="shared" si="0"/>
        <v>50</v>
      </c>
      <c r="B58" s="76"/>
      <c r="C58" s="76"/>
      <c r="E58" s="81"/>
      <c r="F58" s="75"/>
      <c r="H58" s="78"/>
      <c r="I58" s="78"/>
      <c r="J58" s="78"/>
      <c r="K58" s="78"/>
    </row>
    <row r="59" spans="1:15" ht="12.95" customHeight="1" x14ac:dyDescent="0.2">
      <c r="A59" s="75">
        <f t="shared" si="0"/>
        <v>51</v>
      </c>
      <c r="B59" s="77" t="s">
        <v>2</v>
      </c>
      <c r="C59" s="77"/>
      <c r="E59" s="81"/>
      <c r="F59" s="75"/>
      <c r="H59" s="78"/>
      <c r="I59" s="78"/>
      <c r="J59" s="78"/>
      <c r="K59" s="78"/>
    </row>
    <row r="60" spans="1:15" ht="12.95" customHeight="1" x14ac:dyDescent="0.2">
      <c r="A60" s="75">
        <f t="shared" si="0"/>
        <v>52</v>
      </c>
      <c r="C60" s="73" t="s">
        <v>176</v>
      </c>
      <c r="D60" s="73" t="s">
        <v>177</v>
      </c>
      <c r="E60" s="110">
        <v>13978980</v>
      </c>
      <c r="F60" s="75">
        <v>100</v>
      </c>
      <c r="G60" s="78">
        <f>VLOOKUP($F60,AF!$B$25:$I$31,4)*$E60</f>
        <v>13978980</v>
      </c>
      <c r="H60" s="78">
        <f>VLOOKUP($F60,AF!$B$25:$I$31,5)*$E60</f>
        <v>0</v>
      </c>
      <c r="I60" s="78">
        <f>VLOOKUP($F60,AF!$B$25:$I$31,6)*$E60</f>
        <v>0</v>
      </c>
      <c r="J60" s="78">
        <f>VLOOKUP($F60,AF!$B$25:$I$31,7)*$E60</f>
        <v>0</v>
      </c>
      <c r="K60" s="78">
        <f>VLOOKUP($F60,AF!$B$25:$I$31,8)*$E60</f>
        <v>0</v>
      </c>
    </row>
    <row r="61" spans="1:15" ht="12.95" customHeight="1" x14ac:dyDescent="0.2">
      <c r="A61" s="75">
        <f t="shared" si="0"/>
        <v>53</v>
      </c>
      <c r="C61" s="73" t="s">
        <v>174</v>
      </c>
      <c r="D61" s="73" t="s">
        <v>425</v>
      </c>
      <c r="E61" s="110">
        <f>1503463-E62</f>
        <v>1183206</v>
      </c>
      <c r="F61" s="75" t="s">
        <v>402</v>
      </c>
      <c r="G61" s="78">
        <f>+E61-H61</f>
        <v>525872.45771975094</v>
      </c>
      <c r="H61" s="78">
        <f>+TransExp!J89</f>
        <v>657333.54228024906</v>
      </c>
      <c r="I61" s="78">
        <f>+TransExp!J16</f>
        <v>92032.661110883011</v>
      </c>
      <c r="J61" s="78">
        <f>+TransExp!J52</f>
        <v>349012.74454540806</v>
      </c>
      <c r="K61" s="78">
        <f>+TransExp!J64</f>
        <v>216288.13662395795</v>
      </c>
    </row>
    <row r="62" spans="1:15" ht="12.95" customHeight="1" x14ac:dyDescent="0.2">
      <c r="A62" s="75">
        <f t="shared" si="0"/>
        <v>54</v>
      </c>
      <c r="C62" s="73" t="s">
        <v>183</v>
      </c>
      <c r="D62" s="73" t="s">
        <v>423</v>
      </c>
      <c r="E62" s="110">
        <v>320257</v>
      </c>
      <c r="F62" s="75">
        <v>101</v>
      </c>
      <c r="G62" s="78">
        <f>VLOOKUP($F62,AF!$B$25:$I$31,4)*$E62</f>
        <v>263681.63091482647</v>
      </c>
      <c r="H62" s="78">
        <f>VLOOKUP($F62,AF!$B$25:$I$31,5)*$E62</f>
        <v>56575.369085173508</v>
      </c>
      <c r="I62" s="78">
        <f>VLOOKUP($F62,AF!$B$25:$I$31,6)*$E62</f>
        <v>6061.6466876971608</v>
      </c>
      <c r="J62" s="78">
        <f>VLOOKUP($F62,AF!$B$25:$I$31,7)*$E62</f>
        <v>2020.5488958990536</v>
      </c>
      <c r="K62" s="78">
        <f>VLOOKUP($F62,AF!$B$25:$I$31,8)*$E62</f>
        <v>18184.940063091482</v>
      </c>
    </row>
    <row r="63" spans="1:15" ht="12.95" customHeight="1" x14ac:dyDescent="0.2">
      <c r="A63" s="75">
        <f t="shared" si="0"/>
        <v>55</v>
      </c>
      <c r="C63" s="73" t="s">
        <v>175</v>
      </c>
      <c r="D63" s="73" t="s">
        <v>178</v>
      </c>
      <c r="E63" s="145">
        <v>1228961</v>
      </c>
      <c r="F63" s="75">
        <v>100</v>
      </c>
      <c r="G63" s="79">
        <f>VLOOKUP($F63,AF!$B$25:$I$31,4)*$E63</f>
        <v>1228961</v>
      </c>
      <c r="H63" s="79">
        <f>VLOOKUP($F63,AF!$B$25:$I$31,5)*$E63</f>
        <v>0</v>
      </c>
      <c r="I63" s="79">
        <f>VLOOKUP($F63,AF!$B$25:$I$31,6)*$E63</f>
        <v>0</v>
      </c>
      <c r="J63" s="79">
        <f>VLOOKUP($F63,AF!$B$25:$I$31,7)*$E63</f>
        <v>0</v>
      </c>
      <c r="K63" s="79">
        <f>VLOOKUP($F63,AF!$B$25:$I$31,8)*$E63</f>
        <v>0</v>
      </c>
    </row>
    <row r="64" spans="1:15" ht="12.95" customHeight="1" x14ac:dyDescent="0.2">
      <c r="A64" s="75">
        <f t="shared" si="0"/>
        <v>56</v>
      </c>
      <c r="C64" s="73" t="s">
        <v>1</v>
      </c>
      <c r="E64" s="98">
        <f>SUM(E60:E63)</f>
        <v>16711404</v>
      </c>
      <c r="F64" s="75"/>
      <c r="G64" s="78">
        <f>SUM(G60:G63)</f>
        <v>15997495.088634577</v>
      </c>
      <c r="H64" s="78">
        <f>SUM(H60:H63)</f>
        <v>713908.91136542254</v>
      </c>
      <c r="I64" s="78">
        <f t="shared" ref="I64:K64" si="12">SUM(I60:I63)</f>
        <v>98094.307798580179</v>
      </c>
      <c r="J64" s="78">
        <f t="shared" si="12"/>
        <v>351033.29344130709</v>
      </c>
      <c r="K64" s="78">
        <f t="shared" si="12"/>
        <v>234473.07668704944</v>
      </c>
    </row>
    <row r="65" spans="1:11" ht="12.95" customHeight="1" x14ac:dyDescent="0.2">
      <c r="A65" s="75">
        <f t="shared" si="0"/>
        <v>57</v>
      </c>
      <c r="E65" s="81"/>
      <c r="F65" s="75"/>
      <c r="H65" s="78"/>
      <c r="I65" s="78"/>
      <c r="J65" s="78"/>
      <c r="K65" s="78"/>
    </row>
    <row r="66" spans="1:11" ht="12.95" customHeight="1" x14ac:dyDescent="0.2">
      <c r="A66" s="75">
        <f t="shared" si="0"/>
        <v>58</v>
      </c>
      <c r="B66" s="77" t="s">
        <v>179</v>
      </c>
      <c r="C66" s="77"/>
      <c r="E66" s="81"/>
      <c r="F66" s="75"/>
      <c r="H66" s="78"/>
      <c r="I66" s="78"/>
      <c r="J66" s="78"/>
      <c r="K66" s="78"/>
    </row>
    <row r="67" spans="1:11" ht="12.95" customHeight="1" x14ac:dyDescent="0.2">
      <c r="A67" s="75">
        <f t="shared" si="0"/>
        <v>59</v>
      </c>
      <c r="C67" s="88" t="s">
        <v>174</v>
      </c>
      <c r="D67" s="73" t="s">
        <v>424</v>
      </c>
      <c r="E67" s="110">
        <f>5888268-E68</f>
        <v>452042</v>
      </c>
      <c r="F67" s="75" t="s">
        <v>403</v>
      </c>
      <c r="G67" s="78">
        <f>+E67-H67</f>
        <v>380374.58236084983</v>
      </c>
      <c r="H67" s="78">
        <f>+TransExp!J90</f>
        <v>71667.417639150182</v>
      </c>
      <c r="I67" s="78">
        <f>+TransExp!J17</f>
        <v>45532.828885883479</v>
      </c>
      <c r="J67" s="78">
        <f>+TransExp!J53</f>
        <v>2861.1450193707296</v>
      </c>
      <c r="K67" s="78">
        <f>+TransExp!J65</f>
        <v>23273.44373389598</v>
      </c>
    </row>
    <row r="68" spans="1:11" ht="12.95" customHeight="1" x14ac:dyDescent="0.2">
      <c r="A68" s="75">
        <f t="shared" si="0"/>
        <v>60</v>
      </c>
      <c r="C68" s="88" t="s">
        <v>113</v>
      </c>
      <c r="D68" s="73" t="s">
        <v>423</v>
      </c>
      <c r="E68" s="145">
        <v>5436226</v>
      </c>
      <c r="F68" s="75">
        <v>100</v>
      </c>
      <c r="G68" s="79">
        <f>VLOOKUP($F68,AF!$B$25:$I$31,4)*$E68</f>
        <v>5436226</v>
      </c>
      <c r="H68" s="79">
        <f>VLOOKUP($F68,AF!$B$25:$I$31,5)*$E68</f>
        <v>0</v>
      </c>
      <c r="I68" s="79">
        <f>VLOOKUP($F68,AF!$B$25:$I$31,6)*$E68</f>
        <v>0</v>
      </c>
      <c r="J68" s="79">
        <f>VLOOKUP($F68,AF!$B$25:$I$31,7)*$E68</f>
        <v>0</v>
      </c>
      <c r="K68" s="79">
        <f>VLOOKUP($F68,AF!$B$25:$I$31,8)*$E68</f>
        <v>0</v>
      </c>
    </row>
    <row r="69" spans="1:11" ht="12.95" customHeight="1" x14ac:dyDescent="0.2">
      <c r="A69" s="75">
        <f t="shared" si="0"/>
        <v>61</v>
      </c>
      <c r="C69" s="88" t="s">
        <v>1</v>
      </c>
      <c r="D69" s="73" t="s">
        <v>180</v>
      </c>
      <c r="E69" s="83">
        <f>SUM(E67:E68)</f>
        <v>5888268</v>
      </c>
      <c r="F69" s="75"/>
      <c r="G69" s="78">
        <f>SUM(G67:G68)</f>
        <v>5816600.5823608497</v>
      </c>
      <c r="H69" s="78">
        <f>SUM(H67:H68)</f>
        <v>71667.417639150182</v>
      </c>
      <c r="I69" s="78">
        <f t="shared" ref="I69:K69" si="13">SUM(I67:I68)</f>
        <v>45532.828885883479</v>
      </c>
      <c r="J69" s="78">
        <f t="shared" si="13"/>
        <v>2861.1450193707296</v>
      </c>
      <c r="K69" s="78">
        <f t="shared" si="13"/>
        <v>23273.44373389598</v>
      </c>
    </row>
    <row r="70" spans="1:11" ht="12.95" customHeight="1" thickBot="1" x14ac:dyDescent="0.25">
      <c r="A70" s="75">
        <f t="shared" si="0"/>
        <v>62</v>
      </c>
      <c r="E70" s="81"/>
      <c r="F70" s="75"/>
      <c r="G70" s="85"/>
      <c r="H70" s="85"/>
      <c r="I70" s="85"/>
      <c r="J70" s="85"/>
      <c r="K70" s="85"/>
    </row>
    <row r="71" spans="1:11" ht="12.95" customHeight="1" thickTop="1" x14ac:dyDescent="0.2">
      <c r="A71" s="75">
        <f t="shared" si="0"/>
        <v>63</v>
      </c>
      <c r="B71" s="73" t="s">
        <v>190</v>
      </c>
      <c r="E71" s="83">
        <f>+E57+E64+E69</f>
        <v>275506777</v>
      </c>
      <c r="F71" s="75"/>
      <c r="G71" s="78">
        <f>+G57+G64+G69</f>
        <v>274380491.04616976</v>
      </c>
      <c r="H71" s="78">
        <f>+H57+H64+H69</f>
        <v>1126285.9538302738</v>
      </c>
      <c r="I71" s="78">
        <f t="shared" ref="I71:K71" si="14">+I57+I64+I69</f>
        <v>162725.77903232435</v>
      </c>
      <c r="J71" s="78">
        <f t="shared" si="14"/>
        <v>360358.14020208712</v>
      </c>
      <c r="K71" s="78">
        <f t="shared" si="14"/>
        <v>517582.5077819819</v>
      </c>
    </row>
    <row r="72" spans="1:11" ht="12.95" customHeight="1" x14ac:dyDescent="0.2">
      <c r="A72" s="75">
        <f t="shared" si="0"/>
        <v>64</v>
      </c>
      <c r="E72" s="83"/>
      <c r="F72" s="75"/>
      <c r="H72" s="78"/>
      <c r="I72" s="78"/>
      <c r="J72" s="78"/>
      <c r="K72" s="78"/>
    </row>
    <row r="73" spans="1:11" ht="12.95" customHeight="1" x14ac:dyDescent="0.2">
      <c r="A73" s="75">
        <f t="shared" si="0"/>
        <v>65</v>
      </c>
      <c r="B73" s="89" t="s">
        <v>191</v>
      </c>
      <c r="C73" s="77"/>
      <c r="E73" s="81"/>
      <c r="F73" s="75"/>
      <c r="H73" s="78"/>
      <c r="I73" s="78"/>
      <c r="J73" s="78"/>
      <c r="K73" s="78"/>
    </row>
    <row r="74" spans="1:11" ht="12.95" customHeight="1" x14ac:dyDescent="0.2">
      <c r="A74" s="75">
        <f t="shared" si="0"/>
        <v>66</v>
      </c>
      <c r="C74" s="73" t="s">
        <v>189</v>
      </c>
      <c r="E74" s="182">
        <v>2975029</v>
      </c>
      <c r="F74" s="75" t="s">
        <v>404</v>
      </c>
      <c r="G74" s="78">
        <f>+E74-H74</f>
        <v>2236160.9910577005</v>
      </c>
      <c r="H74" s="78">
        <f>+TransExp!J91</f>
        <v>738868.00894229929</v>
      </c>
      <c r="I74" s="78">
        <f>+TransExp!J18</f>
        <v>128290.70433100047</v>
      </c>
      <c r="J74" s="78">
        <f>+TransExp!J54</f>
        <v>465096.09000919084</v>
      </c>
      <c r="K74" s="78">
        <f>+TransExp!J66</f>
        <v>145481.21460210794</v>
      </c>
    </row>
    <row r="75" spans="1:11" ht="12.95" customHeight="1" x14ac:dyDescent="0.2">
      <c r="A75" s="75">
        <f t="shared" ref="A75:A79" si="15">+A74+1</f>
        <v>67</v>
      </c>
      <c r="C75" s="73" t="s">
        <v>192</v>
      </c>
      <c r="E75" s="145">
        <v>25739341</v>
      </c>
      <c r="F75" s="75">
        <v>100</v>
      </c>
      <c r="G75" s="79">
        <f>VLOOKUP($F75,AF!$B$25:$I$31,4)*$E75</f>
        <v>25739341</v>
      </c>
      <c r="H75" s="79">
        <f>VLOOKUP($F75,AF!$B$25:$I$31,5)*$E75</f>
        <v>0</v>
      </c>
      <c r="I75" s="79">
        <f>VLOOKUP($F75,AF!$B$25:$I$31,6)*$E75</f>
        <v>0</v>
      </c>
      <c r="J75" s="79">
        <f>VLOOKUP($F75,AF!$B$25:$I$31,7)*$E75</f>
        <v>0</v>
      </c>
      <c r="K75" s="79">
        <f>VLOOKUP($F75,AF!$B$25:$I$31,8)*$E75</f>
        <v>0</v>
      </c>
    </row>
    <row r="76" spans="1:11" ht="12.95" customHeight="1" x14ac:dyDescent="0.2">
      <c r="A76" s="75">
        <f t="shared" si="15"/>
        <v>68</v>
      </c>
      <c r="C76" s="73" t="s">
        <v>1</v>
      </c>
      <c r="E76" s="83">
        <f>SUM(E74:E75)</f>
        <v>28714370</v>
      </c>
      <c r="F76" s="75"/>
      <c r="G76" s="78">
        <f>SUM(G74:G75)</f>
        <v>27975501.991057701</v>
      </c>
      <c r="H76" s="78">
        <f>SUM(H74:H75)</f>
        <v>738868.00894229929</v>
      </c>
      <c r="I76" s="78">
        <f t="shared" ref="I76:K76" si="16">SUM(I74:I75)</f>
        <v>128290.70433100047</v>
      </c>
      <c r="J76" s="78">
        <f>SUM(J74:J75)</f>
        <v>465096.09000919084</v>
      </c>
      <c r="K76" s="78">
        <f t="shared" si="16"/>
        <v>145481.21460210794</v>
      </c>
    </row>
    <row r="77" spans="1:11" ht="12.95" customHeight="1" x14ac:dyDescent="0.2">
      <c r="A77" s="75">
        <f t="shared" si="15"/>
        <v>69</v>
      </c>
      <c r="E77" s="81"/>
      <c r="F77" s="75"/>
      <c r="H77" s="78"/>
      <c r="I77" s="78"/>
      <c r="J77" s="78"/>
      <c r="K77" s="78"/>
    </row>
    <row r="78" spans="1:11" ht="12.95" customHeight="1" x14ac:dyDescent="0.2">
      <c r="A78" s="75">
        <f t="shared" si="15"/>
        <v>70</v>
      </c>
      <c r="B78" s="89" t="s">
        <v>193</v>
      </c>
      <c r="C78" s="89"/>
      <c r="E78" s="81"/>
      <c r="F78" s="75"/>
      <c r="H78" s="78"/>
      <c r="I78" s="78"/>
      <c r="J78" s="78"/>
      <c r="K78" s="78"/>
    </row>
    <row r="79" spans="1:11" ht="12.95" customHeight="1" x14ac:dyDescent="0.2">
      <c r="A79" s="75">
        <f t="shared" si="15"/>
        <v>71</v>
      </c>
      <c r="C79" s="73" t="s">
        <v>1</v>
      </c>
      <c r="E79" s="138">
        <v>8729788</v>
      </c>
      <c r="F79" s="75">
        <v>100</v>
      </c>
      <c r="G79" s="78">
        <f>VLOOKUP($F79,AF!$B$25:$I$31,4)*$E79</f>
        <v>8729788</v>
      </c>
      <c r="H79" s="78">
        <f>VLOOKUP($F79,AF!$B$25:$I$31,5)*$E79</f>
        <v>0</v>
      </c>
      <c r="I79" s="78">
        <f>VLOOKUP($F79,AF!$B$25:$I$31,6)*$E79</f>
        <v>0</v>
      </c>
      <c r="J79" s="78">
        <f>VLOOKUP($F79,AF!$B$25:$I$31,7)*$E79</f>
        <v>0</v>
      </c>
      <c r="K79" s="78">
        <f>VLOOKUP($F79,AF!$B$25:$I$31,8)*$E79</f>
        <v>0</v>
      </c>
    </row>
    <row r="80" spans="1:11" ht="12.95" customHeight="1" thickBot="1" x14ac:dyDescent="0.25">
      <c r="F80" s="75"/>
      <c r="G80" s="85"/>
      <c r="H80" s="85"/>
      <c r="I80" s="85"/>
      <c r="J80" s="85"/>
      <c r="K80" s="85"/>
    </row>
    <row r="81" spans="2:11" ht="12.95" customHeight="1" thickTop="1" x14ac:dyDescent="0.2">
      <c r="B81" s="73" t="s">
        <v>194</v>
      </c>
      <c r="E81" s="80">
        <f>+E71+E76-E79</f>
        <v>295491359</v>
      </c>
      <c r="F81" s="75"/>
      <c r="G81" s="78">
        <f>+G71+G76-G79</f>
        <v>293626205.03722745</v>
      </c>
      <c r="H81" s="78">
        <f>+H71+H76-H79</f>
        <v>1865153.9627725731</v>
      </c>
      <c r="I81" s="78">
        <f t="shared" ref="I81:K81" si="17">+I71+I76-I79</f>
        <v>291016.48336332483</v>
      </c>
      <c r="J81" s="78">
        <f t="shared" si="17"/>
        <v>825454.23021127796</v>
      </c>
      <c r="K81" s="78">
        <f t="shared" si="17"/>
        <v>663063.72238408984</v>
      </c>
    </row>
    <row r="82" spans="2:11" ht="12.95" customHeight="1" x14ac:dyDescent="0.2">
      <c r="B82" s="73" t="s">
        <v>199</v>
      </c>
      <c r="F82" s="75"/>
      <c r="H82" s="78"/>
      <c r="I82" s="78"/>
      <c r="J82" s="78"/>
      <c r="K82" s="78"/>
    </row>
    <row r="83" spans="2:11" ht="12.95" customHeight="1" x14ac:dyDescent="0.2">
      <c r="B83" s="73" t="s">
        <v>407</v>
      </c>
      <c r="H83" s="78"/>
      <c r="I83" s="78"/>
      <c r="J83" s="78"/>
      <c r="K83" s="78"/>
    </row>
    <row r="84" spans="2:11" x14ac:dyDescent="0.2">
      <c r="B84" s="75"/>
    </row>
    <row r="85" spans="2:11" x14ac:dyDescent="0.2">
      <c r="B85" s="75"/>
      <c r="E85" s="138">
        <v>0</v>
      </c>
    </row>
    <row r="86" spans="2:11" x14ac:dyDescent="0.2">
      <c r="B86" s="75"/>
      <c r="E86" s="90"/>
    </row>
    <row r="87" spans="2:11" x14ac:dyDescent="0.2">
      <c r="B87" s="75"/>
      <c r="E87" s="90"/>
    </row>
    <row r="88" spans="2:11" x14ac:dyDescent="0.2">
      <c r="B88" s="75"/>
      <c r="E88" s="78"/>
    </row>
    <row r="89" spans="2:11" x14ac:dyDescent="0.2">
      <c r="B89" s="75"/>
      <c r="E89" s="78"/>
    </row>
    <row r="90" spans="2:11" x14ac:dyDescent="0.2">
      <c r="B90" s="75"/>
      <c r="E90" s="78"/>
    </row>
    <row r="91" spans="2:11" x14ac:dyDescent="0.2">
      <c r="B91" s="75"/>
    </row>
    <row r="92" spans="2:11" x14ac:dyDescent="0.2">
      <c r="B92" s="75"/>
    </row>
    <row r="93" spans="2:11" x14ac:dyDescent="0.2">
      <c r="B93" s="75"/>
      <c r="E93" s="90"/>
    </row>
    <row r="94" spans="2:11" x14ac:dyDescent="0.2">
      <c r="B94" s="75"/>
      <c r="E94" s="90"/>
    </row>
    <row r="95" spans="2:11" x14ac:dyDescent="0.2">
      <c r="B95" s="75"/>
      <c r="E95" s="78"/>
    </row>
    <row r="96" spans="2:11" x14ac:dyDescent="0.2">
      <c r="B96" s="75"/>
      <c r="E96" s="78"/>
    </row>
    <row r="97" spans="2:5" x14ac:dyDescent="0.2">
      <c r="B97" s="75"/>
      <c r="E97" s="78"/>
    </row>
    <row r="98" spans="2:5" x14ac:dyDescent="0.2">
      <c r="B98" s="75"/>
    </row>
    <row r="99" spans="2:5" x14ac:dyDescent="0.2">
      <c r="B99" s="75"/>
    </row>
    <row r="100" spans="2:5" x14ac:dyDescent="0.2">
      <c r="B100" s="75"/>
      <c r="E100" s="90"/>
    </row>
    <row r="101" spans="2:5" x14ac:dyDescent="0.2">
      <c r="B101" s="75"/>
      <c r="E101" s="90"/>
    </row>
    <row r="102" spans="2:5" x14ac:dyDescent="0.2">
      <c r="B102" s="75"/>
      <c r="E102" s="78"/>
    </row>
    <row r="103" spans="2:5" x14ac:dyDescent="0.2">
      <c r="B103" s="75"/>
      <c r="E103" s="78"/>
    </row>
    <row r="104" spans="2:5" x14ac:dyDescent="0.2">
      <c r="B104" s="75"/>
      <c r="E104" s="78"/>
    </row>
  </sheetData>
  <mergeCells count="4">
    <mergeCell ref="B1:K1"/>
    <mergeCell ref="B2:K2"/>
    <mergeCell ref="H5:K5"/>
    <mergeCell ref="H6:K6"/>
  </mergeCells>
  <pageMargins left="0.7" right="0.7" top="0.75" bottom="0.75" header="0.3" footer="0.3"/>
  <pageSetup scale="65" orientation="landscape" r:id="rId1"/>
  <headerFooter>
    <oddHeader xml:space="preserve">&amp;RSchedule D1.0
</oddHeader>
    <oddFooter>&amp;L&amp;Z&amp;F&amp;R&amp;D</oddFooter>
  </headerFooter>
  <rowBreaks count="3" manualBreakCount="3">
    <brk id="42" max="10" man="1"/>
    <brk id="71" max="10" man="1"/>
    <brk id="83" max="10" man="1"/>
  </rowBreaks>
  <ignoredErrors>
    <ignoredError sqref="G50:K50 G61:K6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
  <sheetViews>
    <sheetView zoomScaleNormal="100" workbookViewId="0"/>
  </sheetViews>
  <sheetFormatPr defaultRowHeight="15" x14ac:dyDescent="0.25"/>
  <cols>
    <col min="1" max="1" width="5.42578125" style="135" customWidth="1"/>
    <col min="2" max="2" width="35.28515625" style="135" customWidth="1"/>
    <col min="3" max="3" width="10.7109375" style="135" customWidth="1"/>
    <col min="4" max="4" width="13.85546875" style="135" customWidth="1"/>
    <col min="5" max="5" width="5.28515625" style="135" customWidth="1"/>
    <col min="6" max="7" width="12.7109375" style="135" customWidth="1"/>
    <col min="8" max="8" width="14.5703125" style="135" customWidth="1"/>
    <col min="9" max="9" width="7" style="135" customWidth="1"/>
    <col min="10" max="10" width="14.140625" style="135" customWidth="1"/>
    <col min="11" max="11" width="15.140625" style="135" customWidth="1"/>
    <col min="12" max="12" width="13.28515625" style="135" bestFit="1" customWidth="1"/>
    <col min="13" max="16384" width="9.140625" style="135"/>
  </cols>
  <sheetData>
    <row r="1" spans="1:12" x14ac:dyDescent="0.25">
      <c r="B1" s="191" t="s">
        <v>29</v>
      </c>
      <c r="C1" s="191"/>
      <c r="D1" s="191"/>
      <c r="E1" s="191"/>
      <c r="F1" s="191"/>
      <c r="G1" s="191"/>
      <c r="H1" s="191"/>
      <c r="I1" s="191"/>
      <c r="J1" s="191"/>
      <c r="K1" s="191"/>
      <c r="L1" s="133"/>
    </row>
    <row r="2" spans="1:12" x14ac:dyDescent="0.25">
      <c r="B2" s="191" t="s">
        <v>459</v>
      </c>
      <c r="C2" s="191"/>
      <c r="D2" s="191"/>
      <c r="E2" s="191"/>
      <c r="F2" s="191"/>
      <c r="G2" s="191"/>
      <c r="H2" s="191"/>
      <c r="I2" s="191"/>
      <c r="J2" s="191"/>
      <c r="K2" s="191"/>
      <c r="L2" s="191"/>
    </row>
    <row r="3" spans="1:12" x14ac:dyDescent="0.25">
      <c r="B3" s="191"/>
      <c r="C3" s="191"/>
      <c r="D3" s="191"/>
      <c r="E3" s="191"/>
      <c r="F3" s="191"/>
      <c r="G3" s="191"/>
      <c r="H3" s="191"/>
      <c r="I3" s="191"/>
      <c r="J3" s="191"/>
      <c r="K3" s="191"/>
      <c r="L3" s="191"/>
    </row>
    <row r="4" spans="1:12" x14ac:dyDescent="0.25">
      <c r="B4" s="112" t="s">
        <v>420</v>
      </c>
      <c r="C4" s="128"/>
      <c r="D4" s="128"/>
      <c r="E4" s="128"/>
      <c r="F4" s="128"/>
      <c r="G4" s="128"/>
      <c r="H4" s="128"/>
      <c r="I4" s="128"/>
      <c r="J4" s="128"/>
      <c r="K4" s="169"/>
    </row>
    <row r="5" spans="1:12" x14ac:dyDescent="0.25">
      <c r="B5" s="133"/>
      <c r="C5" s="133"/>
      <c r="D5" s="133" t="s">
        <v>221</v>
      </c>
      <c r="E5" s="133" t="s">
        <v>222</v>
      </c>
      <c r="F5" s="133" t="s">
        <v>223</v>
      </c>
      <c r="G5" s="133" t="s">
        <v>224</v>
      </c>
      <c r="H5" s="133" t="s">
        <v>225</v>
      </c>
      <c r="I5" s="133" t="s">
        <v>226</v>
      </c>
      <c r="J5" s="133" t="s">
        <v>227</v>
      </c>
      <c r="K5" s="133" t="s">
        <v>228</v>
      </c>
    </row>
    <row r="6" spans="1:12" x14ac:dyDescent="0.25">
      <c r="B6" s="128"/>
      <c r="C6" s="128"/>
      <c r="D6" s="133" t="s">
        <v>1</v>
      </c>
      <c r="E6" s="128" t="s">
        <v>188</v>
      </c>
      <c r="G6" s="133"/>
      <c r="H6" s="133"/>
      <c r="I6" s="170"/>
      <c r="J6" s="146" t="s">
        <v>32</v>
      </c>
      <c r="K6" s="146" t="s">
        <v>32</v>
      </c>
      <c r="L6" s="146"/>
    </row>
    <row r="7" spans="1:12" x14ac:dyDescent="0.25">
      <c r="B7" s="171"/>
      <c r="C7" s="132" t="s">
        <v>0</v>
      </c>
      <c r="D7" s="132"/>
      <c r="E7" s="172" t="s">
        <v>181</v>
      </c>
      <c r="F7" s="173" t="s">
        <v>184</v>
      </c>
      <c r="G7" s="172" t="s">
        <v>32</v>
      </c>
      <c r="H7" s="172" t="s">
        <v>40</v>
      </c>
      <c r="I7" s="132" t="s">
        <v>181</v>
      </c>
      <c r="J7" s="146" t="s">
        <v>39</v>
      </c>
      <c r="K7" s="146" t="s">
        <v>41</v>
      </c>
      <c r="L7" s="146"/>
    </row>
    <row r="8" spans="1:12" x14ac:dyDescent="0.25">
      <c r="C8" s="124" t="s">
        <v>127</v>
      </c>
      <c r="D8" s="124" t="s">
        <v>127</v>
      </c>
      <c r="E8" s="127"/>
      <c r="F8" s="124" t="s">
        <v>127</v>
      </c>
      <c r="G8" s="124" t="s">
        <v>127</v>
      </c>
      <c r="H8" s="124" t="s">
        <v>127</v>
      </c>
      <c r="I8" s="174" t="s">
        <v>31</v>
      </c>
      <c r="J8" s="113" t="s">
        <v>23</v>
      </c>
      <c r="K8" s="113" t="s">
        <v>23</v>
      </c>
      <c r="L8" s="113"/>
    </row>
    <row r="9" spans="1:12" x14ac:dyDescent="0.25">
      <c r="A9" s="146">
        <v>1</v>
      </c>
      <c r="B9" s="175" t="s">
        <v>28</v>
      </c>
      <c r="C9" s="124"/>
      <c r="D9" s="124"/>
      <c r="E9" s="127"/>
      <c r="F9" s="124"/>
      <c r="G9" s="124"/>
      <c r="H9" s="124"/>
      <c r="I9" s="174"/>
      <c r="J9" s="113"/>
      <c r="K9" s="113"/>
      <c r="L9" s="113"/>
    </row>
    <row r="10" spans="1:12" x14ac:dyDescent="0.25">
      <c r="A10" s="146">
        <f>+A9+1</f>
        <v>2</v>
      </c>
      <c r="B10" s="171" t="s">
        <v>376</v>
      </c>
      <c r="C10" s="176">
        <v>561</v>
      </c>
      <c r="D10" s="167">
        <v>0</v>
      </c>
      <c r="E10" s="127">
        <v>1</v>
      </c>
      <c r="F10" s="127">
        <f>VLOOKUP($E10,AF!$B$8:$G$11,4)*$D10</f>
        <v>0</v>
      </c>
      <c r="G10" s="127">
        <f>VLOOKUP($E10,AF!$B$8:$G$11,5)*$D10</f>
        <v>0</v>
      </c>
      <c r="H10" s="127">
        <f>VLOOKUP($E10,AF!$B$8:$G$11,6)*$D10</f>
        <v>0</v>
      </c>
      <c r="I10" s="96">
        <v>11</v>
      </c>
      <c r="J10" s="96">
        <f>VLOOKUP($I10,AF!$B$15:$F$21,4)*TransExp!$G10</f>
        <v>0</v>
      </c>
      <c r="K10" s="96">
        <f>VLOOKUP($I10,AF!$B$15:$F$21,4)*TransExp!$G10</f>
        <v>0</v>
      </c>
      <c r="L10" s="96"/>
    </row>
    <row r="11" spans="1:12" x14ac:dyDescent="0.25">
      <c r="A11" s="146">
        <f t="shared" ref="A11:A73" si="0">+A10+1</f>
        <v>3</v>
      </c>
      <c r="B11" s="171" t="s">
        <v>382</v>
      </c>
      <c r="C11" s="176">
        <v>562</v>
      </c>
      <c r="D11" s="167">
        <v>0</v>
      </c>
      <c r="E11" s="127">
        <v>1</v>
      </c>
      <c r="F11" s="127">
        <f>VLOOKUP($E11,AF!$B$8:$G$11,4)*$D11</f>
        <v>0</v>
      </c>
      <c r="G11" s="127">
        <f>VLOOKUP($E11,AF!$B$8:$G$11,5)*$D11</f>
        <v>0</v>
      </c>
      <c r="H11" s="127">
        <f>VLOOKUP($E11,AF!$B$8:$G$11,6)*$D11</f>
        <v>0</v>
      </c>
      <c r="I11" s="96">
        <v>11</v>
      </c>
      <c r="J11" s="96">
        <f>VLOOKUP($I11,AF!$B$15:$F$21,4)*TransExp!$G11</f>
        <v>0</v>
      </c>
      <c r="K11" s="96">
        <f>VLOOKUP($I11,AF!$B$15:$F$21,5)*TransExp!$G11</f>
        <v>0</v>
      </c>
      <c r="L11" s="96"/>
    </row>
    <row r="12" spans="1:12" x14ac:dyDescent="0.25">
      <c r="A12" s="146">
        <f t="shared" si="0"/>
        <v>4</v>
      </c>
      <c r="B12" s="171" t="s">
        <v>377</v>
      </c>
      <c r="C12" s="176">
        <v>568</v>
      </c>
      <c r="D12" s="167">
        <v>0</v>
      </c>
      <c r="E12" s="127">
        <v>2</v>
      </c>
      <c r="F12" s="127">
        <f>VLOOKUP($E12,AF!$B$8:$G$11,4)*$D12</f>
        <v>0</v>
      </c>
      <c r="G12" s="127">
        <f>VLOOKUP($E12,AF!$B$8:$G$11,5)*$D12</f>
        <v>0</v>
      </c>
      <c r="H12" s="127">
        <f>VLOOKUP($E12,AF!$B$8:$G$11,6)*$D12</f>
        <v>0</v>
      </c>
      <c r="I12" s="96">
        <v>10</v>
      </c>
      <c r="J12" s="96">
        <f>VLOOKUP($I12,AF!$B$15:$F$21,4)*TransExp!$G12</f>
        <v>0</v>
      </c>
      <c r="K12" s="96">
        <f>VLOOKUP($I12,AF!$B$15:$F$21,5)*TransExp!$G12</f>
        <v>0</v>
      </c>
      <c r="L12" s="96"/>
    </row>
    <row r="13" spans="1:12" x14ac:dyDescent="0.25">
      <c r="A13" s="146">
        <f t="shared" si="0"/>
        <v>5</v>
      </c>
      <c r="B13" s="171" t="s">
        <v>381</v>
      </c>
      <c r="C13" s="176">
        <v>570</v>
      </c>
      <c r="D13" s="167">
        <v>0</v>
      </c>
      <c r="E13" s="127">
        <v>2</v>
      </c>
      <c r="F13" s="127">
        <f>VLOOKUP($E13,AF!$B$8:$G$11,4)*$D13</f>
        <v>0</v>
      </c>
      <c r="G13" s="127">
        <f>VLOOKUP($E13,AF!$B$8:$G$11,5)*$D13</f>
        <v>0</v>
      </c>
      <c r="H13" s="127">
        <f>VLOOKUP($E13,AF!$B$8:$G$11,6)*$D13</f>
        <v>0</v>
      </c>
      <c r="I13" s="96">
        <v>10</v>
      </c>
      <c r="J13" s="96">
        <f>VLOOKUP($I13,AF!$B$15:$F$21,4)*TransExp!$G13</f>
        <v>0</v>
      </c>
      <c r="K13" s="96">
        <f>VLOOKUP($I13,AF!$B$15:$F$21,5)*TransExp!$G13</f>
        <v>0</v>
      </c>
      <c r="L13" s="96"/>
    </row>
    <row r="14" spans="1:12" x14ac:dyDescent="0.25">
      <c r="A14" s="146">
        <f t="shared" si="0"/>
        <v>6</v>
      </c>
      <c r="B14" s="171" t="s">
        <v>378</v>
      </c>
      <c r="C14" s="176">
        <v>571</v>
      </c>
      <c r="D14" s="167">
        <v>6335.05</v>
      </c>
      <c r="E14" s="127">
        <v>2</v>
      </c>
      <c r="F14" s="127">
        <f>VLOOKUP($E14,AF!$B$8:$G$11,4)*$D14</f>
        <v>0</v>
      </c>
      <c r="G14" s="127">
        <f>VLOOKUP($E14,AF!$B$8:$G$11,5)*$D14</f>
        <v>4684.0028486023148</v>
      </c>
      <c r="H14" s="127">
        <f>VLOOKUP($E14,AF!$B$8:$G$11,6)*$D14</f>
        <v>1651.0471513976854</v>
      </c>
      <c r="I14" s="96">
        <v>10</v>
      </c>
      <c r="J14" s="96">
        <f>VLOOKUP($I14,AF!$B$15:$F$21,4)*TransExp!$G14</f>
        <v>4684.0028486023148</v>
      </c>
      <c r="K14" s="96">
        <f>VLOOKUP($I14,AF!$B$15:$F$21,5)*TransExp!$G14</f>
        <v>0</v>
      </c>
      <c r="L14" s="96"/>
    </row>
    <row r="15" spans="1:12" x14ac:dyDescent="0.25">
      <c r="A15" s="146">
        <f t="shared" si="0"/>
        <v>7</v>
      </c>
      <c r="B15" s="171" t="s">
        <v>5</v>
      </c>
      <c r="C15" s="176">
        <v>924</v>
      </c>
      <c r="D15" s="167">
        <v>13364.87</v>
      </c>
      <c r="E15" s="127">
        <v>2</v>
      </c>
      <c r="F15" s="127">
        <f>VLOOKUP($E15,AF!$B$8:$G$11,4)*$D15</f>
        <v>0</v>
      </c>
      <c r="G15" s="127">
        <f>VLOOKUP($E15,AF!$B$8:$G$11,5)*$D15</f>
        <v>9881.7040356744819</v>
      </c>
      <c r="H15" s="127">
        <f>VLOOKUP($E15,AF!$B$8:$G$11,6)*$D15</f>
        <v>3483.1659643255198</v>
      </c>
      <c r="I15" s="96">
        <v>11</v>
      </c>
      <c r="J15" s="96">
        <f>VLOOKUP($I15,AF!$B$15:$F$21,4)*TransExp!$G15</f>
        <v>894.60394940064998</v>
      </c>
      <c r="K15" s="96">
        <f>VLOOKUP($I15,AF!$B$15:$F$21,5)*TransExp!$G15</f>
        <v>8987.100086273831</v>
      </c>
      <c r="L15" s="96"/>
    </row>
    <row r="16" spans="1:12" x14ac:dyDescent="0.25">
      <c r="A16" s="146">
        <f t="shared" si="0"/>
        <v>8</v>
      </c>
      <c r="B16" s="171" t="s">
        <v>2</v>
      </c>
      <c r="C16" s="176">
        <v>403</v>
      </c>
      <c r="D16" s="167">
        <v>227771.96</v>
      </c>
      <c r="E16" s="127">
        <v>3</v>
      </c>
      <c r="F16" s="127">
        <f>VLOOKUP($E16,AF!$B$8:$G$11,4)*$D16</f>
        <v>0</v>
      </c>
      <c r="G16" s="127">
        <f>VLOOKUP($E16,AF!$B$8:$G$11,5)*$D16</f>
        <v>130852.99191453634</v>
      </c>
      <c r="H16" s="127">
        <f>VLOOKUP($E16,AF!$B$8:$G$11,6)*$D16</f>
        <v>96918.968085463654</v>
      </c>
      <c r="I16" s="96">
        <v>14</v>
      </c>
      <c r="J16" s="96">
        <f>VLOOKUP($I16,AF!$B$15:$F$21,4)*TransExp!$G16</f>
        <v>92032.661110883011</v>
      </c>
      <c r="K16" s="96">
        <f>VLOOKUP($I16,AF!$B$15:$F$21,5)*TransExp!$G16</f>
        <v>34817.440441124105</v>
      </c>
      <c r="L16" s="96"/>
    </row>
    <row r="17" spans="1:12" x14ac:dyDescent="0.25">
      <c r="A17" s="146">
        <f t="shared" si="0"/>
        <v>9</v>
      </c>
      <c r="B17" s="171" t="s">
        <v>3</v>
      </c>
      <c r="C17" s="176">
        <v>408</v>
      </c>
      <c r="D17" s="167">
        <v>112689.36</v>
      </c>
      <c r="E17" s="127">
        <v>3</v>
      </c>
      <c r="F17" s="127">
        <f>VLOOKUP($E17,AF!$B$8:$G$11,4)*$D17</f>
        <v>0</v>
      </c>
      <c r="G17" s="127">
        <f>VLOOKUP($E17,AF!$B$8:$G$11,5)*$D17</f>
        <v>64739.048269744329</v>
      </c>
      <c r="H17" s="127">
        <f>VLOOKUP($E17,AF!$B$8:$G$11,6)*$D17</f>
        <v>47950.311730255671</v>
      </c>
      <c r="I17" s="96">
        <v>14</v>
      </c>
      <c r="J17" s="96">
        <f>VLOOKUP($I17,AF!$B$15:$F$21,4)*TransExp!$G17</f>
        <v>45532.828885883479</v>
      </c>
      <c r="K17" s="96">
        <f>VLOOKUP($I17,AF!$B$15:$F$21,5)*TransExp!$G17</f>
        <v>17225.80373874112</v>
      </c>
      <c r="L17" s="96"/>
    </row>
    <row r="18" spans="1:12" x14ac:dyDescent="0.25">
      <c r="A18" s="146">
        <f t="shared" si="0"/>
        <v>10</v>
      </c>
      <c r="B18" s="171" t="s">
        <v>4</v>
      </c>
      <c r="C18" s="176">
        <v>427</v>
      </c>
      <c r="D18" s="168">
        <v>317507.12</v>
      </c>
      <c r="E18" s="127">
        <v>3</v>
      </c>
      <c r="F18" s="177">
        <f>VLOOKUP($E18,AF!$B$8:$G$11,4)*$D18</f>
        <v>0</v>
      </c>
      <c r="G18" s="177">
        <f>VLOOKUP($E18,AF!$B$8:$G$11,5)*$D18</f>
        <v>182405.05374835304</v>
      </c>
      <c r="H18" s="177">
        <f>VLOOKUP($E18,AF!$B$8:$G$11,6)*$D18</f>
        <v>135102.06625164696</v>
      </c>
      <c r="I18" s="96">
        <v>14</v>
      </c>
      <c r="J18" s="177">
        <f>VLOOKUP($I18,AF!$B$15:$F$21,4)*TransExp!$G18</f>
        <v>128290.70433100047</v>
      </c>
      <c r="K18" s="177">
        <f>VLOOKUP($I18,AF!$B$15:$F$21,5)*TransExp!$G18</f>
        <v>48534.44313440883</v>
      </c>
      <c r="L18" s="96"/>
    </row>
    <row r="19" spans="1:12" x14ac:dyDescent="0.25">
      <c r="A19" s="146">
        <f t="shared" si="0"/>
        <v>11</v>
      </c>
      <c r="B19" s="171" t="s">
        <v>6</v>
      </c>
      <c r="C19" s="171"/>
      <c r="D19" s="96">
        <f>SUM(D10:D18)</f>
        <v>677668.36</v>
      </c>
      <c r="E19" s="127"/>
      <c r="G19" s="127">
        <f t="shared" ref="G19:H19" si="1">SUM(G16:G18)</f>
        <v>377997.0939326337</v>
      </c>
      <c r="H19" s="127">
        <f t="shared" si="1"/>
        <v>279971.34606736631</v>
      </c>
      <c r="I19" s="96"/>
      <c r="J19" s="96">
        <f>SUM(J10:J18)</f>
        <v>271434.80112576991</v>
      </c>
      <c r="K19" s="96">
        <f>SUM(K10:K18)</f>
        <v>109564.78740054788</v>
      </c>
      <c r="L19" s="96"/>
    </row>
    <row r="20" spans="1:12" x14ac:dyDescent="0.25">
      <c r="A20" s="146">
        <f t="shared" si="0"/>
        <v>12</v>
      </c>
      <c r="B20" s="171"/>
      <c r="C20" s="171"/>
      <c r="D20" s="96"/>
      <c r="E20" s="127"/>
      <c r="F20" s="127"/>
      <c r="G20" s="127"/>
      <c r="H20" s="127"/>
      <c r="I20" s="127"/>
      <c r="J20" s="127"/>
      <c r="K20" s="127"/>
      <c r="L20" s="3"/>
    </row>
    <row r="21" spans="1:12" x14ac:dyDescent="0.25">
      <c r="A21" s="146">
        <f t="shared" si="0"/>
        <v>13</v>
      </c>
      <c r="B21" s="175" t="s">
        <v>27</v>
      </c>
      <c r="C21" s="176"/>
      <c r="D21" s="96"/>
      <c r="E21" s="127"/>
      <c r="F21" s="127"/>
      <c r="G21" s="127"/>
      <c r="H21" s="127"/>
      <c r="I21" s="127"/>
      <c r="J21" s="127"/>
      <c r="K21" s="127"/>
      <c r="L21" s="3"/>
    </row>
    <row r="22" spans="1:12" x14ac:dyDescent="0.25">
      <c r="A22" s="146">
        <f t="shared" si="0"/>
        <v>14</v>
      </c>
      <c r="B22" s="171" t="s">
        <v>376</v>
      </c>
      <c r="C22" s="176">
        <v>561</v>
      </c>
      <c r="D22" s="167">
        <v>0</v>
      </c>
      <c r="E22" s="127"/>
      <c r="F22" s="127"/>
      <c r="G22" s="127"/>
      <c r="H22" s="127">
        <f t="shared" ref="H22:H30" si="2">+D22</f>
        <v>0</v>
      </c>
      <c r="I22" s="127"/>
      <c r="J22" s="96"/>
      <c r="K22" s="96"/>
      <c r="L22" s="3"/>
    </row>
    <row r="23" spans="1:12" x14ac:dyDescent="0.25">
      <c r="A23" s="146">
        <f t="shared" si="0"/>
        <v>15</v>
      </c>
      <c r="B23" s="171" t="s">
        <v>379</v>
      </c>
      <c r="C23" s="176">
        <v>562</v>
      </c>
      <c r="D23" s="167">
        <v>0</v>
      </c>
      <c r="E23" s="127"/>
      <c r="F23" s="127"/>
      <c r="G23" s="127"/>
      <c r="H23" s="127">
        <f t="shared" si="2"/>
        <v>0</v>
      </c>
      <c r="I23" s="127"/>
      <c r="J23" s="96"/>
      <c r="K23" s="96"/>
      <c r="L23" s="3"/>
    </row>
    <row r="24" spans="1:12" x14ac:dyDescent="0.25">
      <c r="A24" s="146">
        <f t="shared" si="0"/>
        <v>16</v>
      </c>
      <c r="B24" s="171" t="s">
        <v>377</v>
      </c>
      <c r="C24" s="176">
        <v>568</v>
      </c>
      <c r="D24" s="167">
        <v>0</v>
      </c>
      <c r="E24" s="127"/>
      <c r="F24" s="127"/>
      <c r="G24" s="127"/>
      <c r="H24" s="127">
        <f t="shared" si="2"/>
        <v>0</v>
      </c>
      <c r="I24" s="127"/>
      <c r="J24" s="96"/>
      <c r="K24" s="96"/>
      <c r="L24" s="3"/>
    </row>
    <row r="25" spans="1:12" x14ac:dyDescent="0.25">
      <c r="A25" s="146">
        <f t="shared" si="0"/>
        <v>17</v>
      </c>
      <c r="B25" s="171" t="s">
        <v>383</v>
      </c>
      <c r="C25" s="176">
        <v>570</v>
      </c>
      <c r="D25" s="167">
        <v>0</v>
      </c>
      <c r="E25" s="127"/>
      <c r="F25" s="127"/>
      <c r="G25" s="127"/>
      <c r="H25" s="127">
        <f t="shared" si="2"/>
        <v>0</v>
      </c>
      <c r="I25" s="127"/>
      <c r="J25" s="96"/>
      <c r="K25" s="96"/>
      <c r="L25" s="3"/>
    </row>
    <row r="26" spans="1:12" x14ac:dyDescent="0.25">
      <c r="A26" s="146">
        <f t="shared" si="0"/>
        <v>18</v>
      </c>
      <c r="B26" s="171" t="s">
        <v>380</v>
      </c>
      <c r="C26" s="176">
        <v>571</v>
      </c>
      <c r="D26" s="167">
        <v>41066.840000000004</v>
      </c>
      <c r="E26" s="127"/>
      <c r="F26" s="127"/>
      <c r="G26" s="127"/>
      <c r="H26" s="127">
        <f t="shared" si="2"/>
        <v>41066.840000000004</v>
      </c>
      <c r="I26" s="127"/>
      <c r="J26" s="96"/>
      <c r="K26" s="96"/>
      <c r="L26" s="3"/>
    </row>
    <row r="27" spans="1:12" x14ac:dyDescent="0.25">
      <c r="A27" s="146">
        <f t="shared" si="0"/>
        <v>19</v>
      </c>
      <c r="B27" s="171" t="s">
        <v>5</v>
      </c>
      <c r="C27" s="176">
        <v>924</v>
      </c>
      <c r="D27" s="167">
        <v>4272.53</v>
      </c>
      <c r="E27" s="127"/>
      <c r="F27" s="127"/>
      <c r="G27" s="127"/>
      <c r="H27" s="127">
        <f t="shared" si="2"/>
        <v>4272.53</v>
      </c>
      <c r="I27" s="127"/>
      <c r="J27" s="96"/>
      <c r="K27" s="96"/>
      <c r="L27" s="3"/>
    </row>
    <row r="28" spans="1:12" x14ac:dyDescent="0.25">
      <c r="A28" s="146">
        <f t="shared" si="0"/>
        <v>20</v>
      </c>
      <c r="B28" s="171" t="s">
        <v>2</v>
      </c>
      <c r="C28" s="176">
        <v>403</v>
      </c>
      <c r="D28" s="167">
        <v>33857.270000000004</v>
      </c>
      <c r="E28" s="127"/>
      <c r="F28" s="127"/>
      <c r="G28" s="127"/>
      <c r="H28" s="127">
        <f t="shared" si="2"/>
        <v>33857.270000000004</v>
      </c>
      <c r="I28" s="127"/>
      <c r="J28" s="96"/>
      <c r="K28" s="96"/>
      <c r="L28" s="3"/>
    </row>
    <row r="29" spans="1:12" x14ac:dyDescent="0.25">
      <c r="A29" s="146">
        <f t="shared" si="0"/>
        <v>21</v>
      </c>
      <c r="B29" s="171" t="s">
        <v>3</v>
      </c>
      <c r="C29" s="176">
        <v>408</v>
      </c>
      <c r="D29" s="167">
        <v>13361.73</v>
      </c>
      <c r="E29" s="127"/>
      <c r="F29" s="127"/>
      <c r="G29" s="127"/>
      <c r="H29" s="127">
        <f t="shared" si="2"/>
        <v>13361.73</v>
      </c>
      <c r="I29" s="127"/>
      <c r="J29" s="96"/>
      <c r="K29" s="96"/>
      <c r="L29" s="3"/>
    </row>
    <row r="30" spans="1:12" x14ac:dyDescent="0.25">
      <c r="A30" s="146">
        <f t="shared" si="0"/>
        <v>22</v>
      </c>
      <c r="B30" s="171" t="s">
        <v>4</v>
      </c>
      <c r="C30" s="176">
        <v>427</v>
      </c>
      <c r="D30" s="168">
        <v>30153.95</v>
      </c>
      <c r="E30" s="127"/>
      <c r="F30" s="177"/>
      <c r="G30" s="177"/>
      <c r="H30" s="177">
        <f t="shared" si="2"/>
        <v>30153.95</v>
      </c>
      <c r="I30" s="127"/>
      <c r="J30" s="177"/>
      <c r="K30" s="177"/>
      <c r="L30" s="3"/>
    </row>
    <row r="31" spans="1:12" x14ac:dyDescent="0.25">
      <c r="A31" s="146">
        <f t="shared" si="0"/>
        <v>23</v>
      </c>
      <c r="B31" s="171" t="s">
        <v>6</v>
      </c>
      <c r="C31" s="171"/>
      <c r="D31" s="96">
        <f>SUM(D22:D30)</f>
        <v>122712.32000000001</v>
      </c>
      <c r="E31" s="127"/>
      <c r="F31" s="127"/>
      <c r="G31" s="127"/>
      <c r="H31" s="127">
        <f>SUM(H22:H30)</f>
        <v>122712.32000000001</v>
      </c>
      <c r="I31" s="127"/>
      <c r="J31" s="127">
        <f>SUM(J22:J30)</f>
        <v>0</v>
      </c>
      <c r="K31" s="127">
        <f>SUM(K22:K30)</f>
        <v>0</v>
      </c>
      <c r="L31" s="3"/>
    </row>
    <row r="32" spans="1:12" x14ac:dyDescent="0.25">
      <c r="A32" s="146">
        <f t="shared" si="0"/>
        <v>24</v>
      </c>
      <c r="B32" s="171"/>
      <c r="C32" s="171"/>
      <c r="D32" s="96"/>
      <c r="E32" s="127"/>
      <c r="F32" s="127"/>
      <c r="G32" s="127"/>
      <c r="H32" s="127"/>
      <c r="I32" s="127"/>
      <c r="J32" s="127"/>
      <c r="K32" s="127"/>
      <c r="L32" s="3"/>
    </row>
    <row r="33" spans="1:12" x14ac:dyDescent="0.25">
      <c r="A33" s="146">
        <f t="shared" si="0"/>
        <v>25</v>
      </c>
      <c r="B33" s="175" t="s">
        <v>26</v>
      </c>
      <c r="C33" s="176"/>
      <c r="D33" s="96"/>
      <c r="E33" s="127"/>
      <c r="F33" s="127"/>
      <c r="G33" s="127"/>
      <c r="H33" s="127"/>
      <c r="I33" s="127"/>
      <c r="J33" s="127"/>
      <c r="K33" s="127"/>
      <c r="L33" s="3"/>
    </row>
    <row r="34" spans="1:12" x14ac:dyDescent="0.25">
      <c r="A34" s="146">
        <f t="shared" si="0"/>
        <v>26</v>
      </c>
      <c r="B34" s="171" t="s">
        <v>376</v>
      </c>
      <c r="C34" s="176">
        <v>561</v>
      </c>
      <c r="D34" s="167">
        <v>0</v>
      </c>
      <c r="E34" s="127"/>
      <c r="F34" s="127"/>
      <c r="G34" s="127"/>
      <c r="H34" s="127">
        <f>+D34</f>
        <v>0</v>
      </c>
      <c r="I34" s="127"/>
      <c r="J34" s="96"/>
      <c r="K34" s="96"/>
      <c r="L34" s="3"/>
    </row>
    <row r="35" spans="1:12" x14ac:dyDescent="0.25">
      <c r="A35" s="146">
        <f t="shared" si="0"/>
        <v>27</v>
      </c>
      <c r="B35" s="171" t="s">
        <v>379</v>
      </c>
      <c r="C35" s="176">
        <v>562</v>
      </c>
      <c r="D35" s="167">
        <v>0</v>
      </c>
      <c r="E35" s="127"/>
      <c r="F35" s="127"/>
      <c r="G35" s="127"/>
      <c r="H35" s="127">
        <f>+D35</f>
        <v>0</v>
      </c>
      <c r="I35" s="127"/>
      <c r="J35" s="96"/>
      <c r="K35" s="96"/>
      <c r="L35" s="3"/>
    </row>
    <row r="36" spans="1:12" x14ac:dyDescent="0.25">
      <c r="A36" s="146">
        <f t="shared" si="0"/>
        <v>28</v>
      </c>
      <c r="B36" s="171" t="s">
        <v>377</v>
      </c>
      <c r="C36" s="176">
        <v>568</v>
      </c>
      <c r="D36" s="167">
        <v>0</v>
      </c>
      <c r="E36" s="127"/>
      <c r="F36" s="127"/>
      <c r="G36" s="127"/>
      <c r="H36" s="127">
        <f>+D36</f>
        <v>0</v>
      </c>
      <c r="I36" s="127"/>
      <c r="J36" s="96"/>
      <c r="K36" s="96"/>
      <c r="L36" s="3"/>
    </row>
    <row r="37" spans="1:12" x14ac:dyDescent="0.25">
      <c r="A37" s="146">
        <f t="shared" si="0"/>
        <v>29</v>
      </c>
      <c r="B37" s="171" t="s">
        <v>383</v>
      </c>
      <c r="C37" s="176">
        <v>570</v>
      </c>
      <c r="D37" s="167">
        <v>129322.64</v>
      </c>
      <c r="E37" s="127"/>
      <c r="F37" s="127"/>
      <c r="G37" s="127"/>
      <c r="H37" s="127">
        <f>+D37</f>
        <v>129322.64</v>
      </c>
      <c r="I37" s="127"/>
      <c r="J37" s="96"/>
      <c r="K37" s="96"/>
      <c r="L37" s="3"/>
    </row>
    <row r="38" spans="1:12" x14ac:dyDescent="0.25">
      <c r="A38" s="146">
        <f t="shared" si="0"/>
        <v>30</v>
      </c>
      <c r="B38" s="171" t="s">
        <v>380</v>
      </c>
      <c r="C38" s="176">
        <v>571</v>
      </c>
      <c r="D38" s="167">
        <v>0</v>
      </c>
      <c r="E38" s="127"/>
      <c r="F38" s="127"/>
      <c r="G38" s="127"/>
      <c r="H38" s="127">
        <f t="shared" ref="H38:H42" si="3">+D38</f>
        <v>0</v>
      </c>
      <c r="I38" s="127"/>
      <c r="J38" s="96"/>
      <c r="K38" s="96"/>
      <c r="L38" s="3"/>
    </row>
    <row r="39" spans="1:12" x14ac:dyDescent="0.25">
      <c r="A39" s="146">
        <f t="shared" si="0"/>
        <v>31</v>
      </c>
      <c r="B39" s="171" t="s">
        <v>5</v>
      </c>
      <c r="C39" s="176">
        <v>924</v>
      </c>
      <c r="D39" s="167">
        <v>38718.89</v>
      </c>
      <c r="E39" s="127"/>
      <c r="F39" s="127"/>
      <c r="G39" s="127"/>
      <c r="H39" s="127">
        <f t="shared" si="3"/>
        <v>38718.89</v>
      </c>
      <c r="I39" s="127"/>
      <c r="J39" s="96"/>
      <c r="K39" s="96"/>
      <c r="L39" s="3"/>
    </row>
    <row r="40" spans="1:12" x14ac:dyDescent="0.25">
      <c r="A40" s="146">
        <f t="shared" si="0"/>
        <v>32</v>
      </c>
      <c r="B40" s="171" t="s">
        <v>2</v>
      </c>
      <c r="C40" s="176">
        <v>403</v>
      </c>
      <c r="D40" s="167">
        <v>287839.96000000002</v>
      </c>
      <c r="E40" s="127"/>
      <c r="F40" s="127"/>
      <c r="G40" s="127"/>
      <c r="H40" s="127">
        <f t="shared" si="3"/>
        <v>287839.96000000002</v>
      </c>
      <c r="I40" s="127"/>
      <c r="J40" s="96"/>
      <c r="K40" s="96"/>
      <c r="L40" s="3"/>
    </row>
    <row r="41" spans="1:12" x14ac:dyDescent="0.25">
      <c r="A41" s="146">
        <f t="shared" si="0"/>
        <v>33</v>
      </c>
      <c r="B41" s="171" t="s">
        <v>3</v>
      </c>
      <c r="C41" s="176">
        <v>408</v>
      </c>
      <c r="D41" s="167">
        <v>16799.400000000001</v>
      </c>
      <c r="E41" s="127"/>
      <c r="F41" s="127"/>
      <c r="G41" s="127"/>
      <c r="H41" s="127">
        <f t="shared" si="3"/>
        <v>16799.400000000001</v>
      </c>
      <c r="I41" s="127"/>
      <c r="J41" s="96"/>
      <c r="K41" s="96"/>
      <c r="L41" s="3"/>
    </row>
    <row r="42" spans="1:12" x14ac:dyDescent="0.25">
      <c r="A42" s="146">
        <f t="shared" si="0"/>
        <v>34</v>
      </c>
      <c r="B42" s="171" t="s">
        <v>4</v>
      </c>
      <c r="C42" s="176">
        <v>427</v>
      </c>
      <c r="D42" s="168">
        <v>384054.33</v>
      </c>
      <c r="E42" s="127"/>
      <c r="F42" s="177"/>
      <c r="G42" s="177"/>
      <c r="H42" s="177">
        <f t="shared" si="3"/>
        <v>384054.33</v>
      </c>
      <c r="I42" s="127"/>
      <c r="J42" s="177"/>
      <c r="K42" s="177"/>
      <c r="L42" s="3"/>
    </row>
    <row r="43" spans="1:12" x14ac:dyDescent="0.25">
      <c r="A43" s="146">
        <f t="shared" si="0"/>
        <v>35</v>
      </c>
      <c r="B43" s="171" t="s">
        <v>6</v>
      </c>
      <c r="C43" s="171"/>
      <c r="D43" s="96">
        <f>SUM(D34:D42)</f>
        <v>856735.22</v>
      </c>
      <c r="E43" s="127"/>
      <c r="F43" s="127"/>
      <c r="G43" s="127"/>
      <c r="H43" s="127">
        <f>SUM(H34:H42)</f>
        <v>856735.22</v>
      </c>
      <c r="I43" s="127"/>
      <c r="J43" s="127">
        <f>SUM(J34:J42)</f>
        <v>0</v>
      </c>
      <c r="K43" s="127">
        <f>SUM(K34:K42)</f>
        <v>0</v>
      </c>
      <c r="L43" s="3"/>
    </row>
    <row r="44" spans="1:12" x14ac:dyDescent="0.25">
      <c r="A44" s="146">
        <f t="shared" si="0"/>
        <v>36</v>
      </c>
      <c r="B44" s="171"/>
      <c r="C44" s="171"/>
      <c r="D44" s="96"/>
      <c r="E44" s="127"/>
      <c r="F44" s="127"/>
      <c r="G44" s="127"/>
      <c r="H44" s="127"/>
      <c r="I44" s="127"/>
      <c r="J44" s="127"/>
      <c r="K44" s="127"/>
      <c r="L44" s="3"/>
    </row>
    <row r="45" spans="1:12" x14ac:dyDescent="0.25">
      <c r="A45" s="146">
        <f t="shared" si="0"/>
        <v>37</v>
      </c>
      <c r="B45" s="175" t="s">
        <v>25</v>
      </c>
      <c r="C45" s="176"/>
      <c r="D45" s="96"/>
      <c r="E45" s="127"/>
      <c r="F45" s="127"/>
      <c r="G45" s="127"/>
      <c r="H45" s="127"/>
      <c r="I45" s="127"/>
      <c r="J45" s="127"/>
      <c r="K45" s="127"/>
      <c r="L45" s="3"/>
    </row>
    <row r="46" spans="1:12" x14ac:dyDescent="0.25">
      <c r="A46" s="146">
        <f t="shared" si="0"/>
        <v>38</v>
      </c>
      <c r="B46" s="171" t="s">
        <v>376</v>
      </c>
      <c r="C46" s="176">
        <v>561</v>
      </c>
      <c r="D46" s="167">
        <v>0</v>
      </c>
      <c r="E46" s="127"/>
      <c r="F46" s="127"/>
      <c r="G46" s="127">
        <f t="shared" ref="G46:G53" si="4">+D46</f>
        <v>0</v>
      </c>
      <c r="I46" s="127">
        <v>12</v>
      </c>
      <c r="J46" s="96">
        <f>VLOOKUP($I46,AF!$B$15:$F$21,4)*TransExp!$G46</f>
        <v>0</v>
      </c>
      <c r="K46" s="96">
        <f>VLOOKUP($I46,AF!$B$15:$F$21,5)*TransExp!$G46</f>
        <v>0</v>
      </c>
      <c r="L46" s="3"/>
    </row>
    <row r="47" spans="1:12" x14ac:dyDescent="0.25">
      <c r="A47" s="146">
        <f t="shared" si="0"/>
        <v>39</v>
      </c>
      <c r="B47" s="171" t="s">
        <v>379</v>
      </c>
      <c r="C47" s="176">
        <v>562</v>
      </c>
      <c r="D47" s="167">
        <v>0</v>
      </c>
      <c r="E47" s="127"/>
      <c r="F47" s="127"/>
      <c r="G47" s="127">
        <f t="shared" si="4"/>
        <v>0</v>
      </c>
      <c r="I47" s="127">
        <v>12</v>
      </c>
      <c r="J47" s="96">
        <f>VLOOKUP($I47,AF!$B$15:$F$21,4)*TransExp!$G47</f>
        <v>0</v>
      </c>
      <c r="K47" s="96">
        <f>VLOOKUP($I47,AF!$B$15:$F$21,5)*TransExp!$G47</f>
        <v>0</v>
      </c>
      <c r="L47" s="3"/>
    </row>
    <row r="48" spans="1:12" x14ac:dyDescent="0.25">
      <c r="A48" s="146">
        <f t="shared" si="0"/>
        <v>40</v>
      </c>
      <c r="B48" s="171" t="s">
        <v>377</v>
      </c>
      <c r="C48" s="176">
        <v>568</v>
      </c>
      <c r="D48" s="167">
        <v>0</v>
      </c>
      <c r="E48" s="127"/>
      <c r="F48" s="127"/>
      <c r="G48" s="127">
        <f t="shared" si="4"/>
        <v>0</v>
      </c>
      <c r="I48" s="127">
        <v>10</v>
      </c>
      <c r="J48" s="96">
        <f>VLOOKUP($I48,AF!$B$15:$F$21,4)*TransExp!$G48</f>
        <v>0</v>
      </c>
      <c r="K48" s="96">
        <f>VLOOKUP($I48,AF!$B$15:$F$21,5)*TransExp!$G48</f>
        <v>0</v>
      </c>
      <c r="L48" s="3"/>
    </row>
    <row r="49" spans="1:12" x14ac:dyDescent="0.25">
      <c r="A49" s="146">
        <f t="shared" si="0"/>
        <v>41</v>
      </c>
      <c r="B49" s="171" t="s">
        <v>383</v>
      </c>
      <c r="C49" s="176">
        <v>570</v>
      </c>
      <c r="D49" s="167">
        <v>0</v>
      </c>
      <c r="E49" s="127"/>
      <c r="F49" s="127"/>
      <c r="G49" s="127">
        <f t="shared" si="4"/>
        <v>0</v>
      </c>
      <c r="I49" s="127">
        <v>12</v>
      </c>
      <c r="J49" s="96">
        <f>VLOOKUP($I49,AF!$B$15:$F$21,4)*TransExp!$G49</f>
        <v>0</v>
      </c>
      <c r="K49" s="96">
        <f>VLOOKUP($I49,AF!$B$15:$F$21,5)*TransExp!$G49</f>
        <v>0</v>
      </c>
      <c r="L49" s="3"/>
    </row>
    <row r="50" spans="1:12" x14ac:dyDescent="0.25">
      <c r="A50" s="146">
        <f t="shared" si="0"/>
        <v>42</v>
      </c>
      <c r="B50" s="171" t="s">
        <v>380</v>
      </c>
      <c r="C50" s="176">
        <v>571</v>
      </c>
      <c r="D50" s="167">
        <v>0</v>
      </c>
      <c r="E50" s="127"/>
      <c r="F50" s="127"/>
      <c r="G50" s="127">
        <f t="shared" si="4"/>
        <v>0</v>
      </c>
      <c r="I50" s="127">
        <v>10</v>
      </c>
      <c r="J50" s="96">
        <f>VLOOKUP($I50,AF!$B$15:$F$21,4)*TransExp!$G50</f>
        <v>0</v>
      </c>
      <c r="K50" s="96">
        <f>VLOOKUP($I50,AF!$B$15:$F$21,5)*TransExp!$G50</f>
        <v>0</v>
      </c>
      <c r="L50" s="3"/>
    </row>
    <row r="51" spans="1:12" x14ac:dyDescent="0.25">
      <c r="A51" s="146">
        <f t="shared" si="0"/>
        <v>43</v>
      </c>
      <c r="B51" s="171" t="s">
        <v>5</v>
      </c>
      <c r="C51" s="176">
        <v>924</v>
      </c>
      <c r="D51" s="167">
        <v>30666.53</v>
      </c>
      <c r="E51" s="127"/>
      <c r="F51" s="127"/>
      <c r="G51" s="127">
        <f t="shared" si="4"/>
        <v>30666.53</v>
      </c>
      <c r="I51" s="127">
        <v>12</v>
      </c>
      <c r="J51" s="96">
        <f>VLOOKUP($I51,AF!$B$15:$F$21,4)*TransExp!$G51</f>
        <v>2776.2821830497132</v>
      </c>
      <c r="K51" s="96">
        <f>VLOOKUP($I51,AF!$B$15:$F$21,5)*TransExp!$G51</f>
        <v>27890.247816950287</v>
      </c>
      <c r="L51" s="3"/>
    </row>
    <row r="52" spans="1:12" x14ac:dyDescent="0.25">
      <c r="A52" s="146">
        <f t="shared" si="0"/>
        <v>44</v>
      </c>
      <c r="B52" s="171" t="s">
        <v>2</v>
      </c>
      <c r="C52" s="176">
        <v>403</v>
      </c>
      <c r="D52" s="167">
        <v>697537.55</v>
      </c>
      <c r="E52" s="127"/>
      <c r="F52" s="127"/>
      <c r="G52" s="127">
        <f t="shared" si="4"/>
        <v>697537.55</v>
      </c>
      <c r="I52" s="127">
        <v>15</v>
      </c>
      <c r="J52" s="96">
        <f>VLOOKUP($I52,AF!$B$15:$F$21,4)*TransExp!$G52</f>
        <v>349012.74454540806</v>
      </c>
      <c r="K52" s="96">
        <f>VLOOKUP($I52,AF!$B$15:$F$21,5)*TransExp!$G52</f>
        <v>348524.80545459199</v>
      </c>
      <c r="L52" s="3"/>
    </row>
    <row r="53" spans="1:12" x14ac:dyDescent="0.25">
      <c r="A53" s="146">
        <f t="shared" si="0"/>
        <v>45</v>
      </c>
      <c r="B53" s="171" t="s">
        <v>3</v>
      </c>
      <c r="C53" s="176">
        <v>408</v>
      </c>
      <c r="D53" s="167">
        <v>5718.29</v>
      </c>
      <c r="E53" s="127"/>
      <c r="F53" s="127"/>
      <c r="G53" s="127">
        <f t="shared" si="4"/>
        <v>5718.29</v>
      </c>
      <c r="I53" s="127">
        <v>15</v>
      </c>
      <c r="J53" s="96">
        <f>VLOOKUP($I53,AF!$B$15:$F$21,4)*TransExp!$G53</f>
        <v>2861.1450193707296</v>
      </c>
      <c r="K53" s="96">
        <f>VLOOKUP($I53,AF!$B$15:$F$21,5)*TransExp!$G53</f>
        <v>2857.1449806292703</v>
      </c>
      <c r="L53" s="3"/>
    </row>
    <row r="54" spans="1:12" x14ac:dyDescent="0.25">
      <c r="A54" s="146">
        <f t="shared" si="0"/>
        <v>46</v>
      </c>
      <c r="B54" s="171" t="s">
        <v>4</v>
      </c>
      <c r="C54" s="176">
        <v>427</v>
      </c>
      <c r="D54" s="168">
        <v>929541.95000000007</v>
      </c>
      <c r="E54" s="127"/>
      <c r="F54" s="177"/>
      <c r="G54" s="177">
        <f>+D54</f>
        <v>929541.95000000007</v>
      </c>
      <c r="I54" s="127">
        <v>15</v>
      </c>
      <c r="J54" s="177">
        <f>VLOOKUP($I54,AF!$B$15:$F$21,4)*TransExp!$G54</f>
        <v>465096.09000919084</v>
      </c>
      <c r="K54" s="177">
        <f>VLOOKUP($I54,AF!$B$15:$F$21,5)*TransExp!$G54</f>
        <v>464445.85999080923</v>
      </c>
      <c r="L54" s="3"/>
    </row>
    <row r="55" spans="1:12" x14ac:dyDescent="0.25">
      <c r="A55" s="146">
        <f t="shared" si="0"/>
        <v>47</v>
      </c>
      <c r="B55" s="171" t="s">
        <v>6</v>
      </c>
      <c r="C55" s="171"/>
      <c r="D55" s="96">
        <f>SUM(D46:D54)</f>
        <v>1663464.3200000003</v>
      </c>
      <c r="E55" s="127"/>
      <c r="F55" s="127"/>
      <c r="G55" s="96">
        <f>SUM(G46:G54)</f>
        <v>1663464.3200000003</v>
      </c>
      <c r="H55" s="127"/>
      <c r="I55" s="127"/>
      <c r="J55" s="127">
        <f>SUM(J46:J54)</f>
        <v>819746.26175701933</v>
      </c>
      <c r="K55" s="127">
        <f>SUM(K46:K54)</f>
        <v>843718.05824298086</v>
      </c>
      <c r="L55" s="3"/>
    </row>
    <row r="56" spans="1:12" x14ac:dyDescent="0.25">
      <c r="A56" s="146">
        <f t="shared" si="0"/>
        <v>48</v>
      </c>
      <c r="B56" s="171"/>
      <c r="C56" s="171"/>
      <c r="D56" s="96"/>
      <c r="E56" s="127"/>
      <c r="F56" s="127"/>
      <c r="G56" s="127"/>
      <c r="H56" s="127"/>
      <c r="I56" s="127"/>
      <c r="J56" s="127"/>
      <c r="K56" s="127"/>
      <c r="L56" s="3"/>
    </row>
    <row r="57" spans="1:12" x14ac:dyDescent="0.25">
      <c r="A57" s="146">
        <f t="shared" si="0"/>
        <v>49</v>
      </c>
      <c r="B57" s="175" t="s">
        <v>42</v>
      </c>
      <c r="C57" s="176"/>
      <c r="D57" s="96"/>
      <c r="E57" s="127"/>
      <c r="F57" s="127"/>
      <c r="G57" s="127"/>
      <c r="H57" s="127"/>
      <c r="I57" s="127"/>
      <c r="J57" s="127"/>
      <c r="K57" s="127"/>
      <c r="L57" s="3"/>
    </row>
    <row r="58" spans="1:12" x14ac:dyDescent="0.25">
      <c r="A58" s="146">
        <f t="shared" si="0"/>
        <v>50</v>
      </c>
      <c r="B58" s="171" t="s">
        <v>376</v>
      </c>
      <c r="C58" s="176">
        <v>561</v>
      </c>
      <c r="D58" s="167">
        <v>79438.83</v>
      </c>
      <c r="E58" s="127"/>
      <c r="F58" s="127"/>
      <c r="G58" s="127">
        <f>+D58</f>
        <v>79438.83</v>
      </c>
      <c r="H58" s="127"/>
      <c r="I58" s="127">
        <v>13</v>
      </c>
      <c r="J58" s="96">
        <f>VLOOKUP($I58,AF!$B$15:$F$21,4)*TransExp!$G58</f>
        <v>7191.7040620935941</v>
      </c>
      <c r="K58" s="96">
        <f>VLOOKUP($I58,AF!$B$15:$F$21,5)*TransExp!$G58</f>
        <v>72247.125937906399</v>
      </c>
      <c r="L58" s="3"/>
    </row>
    <row r="59" spans="1:12" x14ac:dyDescent="0.25">
      <c r="A59" s="146">
        <f t="shared" si="0"/>
        <v>51</v>
      </c>
      <c r="B59" s="171" t="s">
        <v>379</v>
      </c>
      <c r="C59" s="176">
        <v>562</v>
      </c>
      <c r="D59" s="167">
        <v>1865.81</v>
      </c>
      <c r="E59" s="127"/>
      <c r="F59" s="127"/>
      <c r="G59" s="127">
        <f t="shared" ref="G59:G65" si="5">+D59</f>
        <v>1865.81</v>
      </c>
      <c r="H59" s="127"/>
      <c r="I59" s="127">
        <v>13</v>
      </c>
      <c r="J59" s="96">
        <f>VLOOKUP($I59,AF!$B$15:$F$21,4)*TransExp!$G59</f>
        <v>168.91428733397569</v>
      </c>
      <c r="K59" s="96">
        <f>VLOOKUP($I59,AF!$B$15:$F$21,5)*TransExp!$G59</f>
        <v>1696.8957126660241</v>
      </c>
      <c r="L59" s="3"/>
    </row>
    <row r="60" spans="1:12" x14ac:dyDescent="0.25">
      <c r="A60" s="146">
        <f t="shared" si="0"/>
        <v>52</v>
      </c>
      <c r="B60" s="171" t="s">
        <v>377</v>
      </c>
      <c r="C60" s="176">
        <v>568</v>
      </c>
      <c r="D60" s="167">
        <v>0</v>
      </c>
      <c r="E60" s="127"/>
      <c r="F60" s="127"/>
      <c r="G60" s="127">
        <f t="shared" si="5"/>
        <v>0</v>
      </c>
      <c r="H60" s="127"/>
      <c r="I60" s="127">
        <v>10</v>
      </c>
      <c r="J60" s="96">
        <f>VLOOKUP($I60,AF!$B$15:$F$21,4)*TransExp!$G60</f>
        <v>0</v>
      </c>
      <c r="K60" s="96">
        <f>VLOOKUP($I60,AF!$B$15:$F$21,5)*TransExp!$G60</f>
        <v>0</v>
      </c>
      <c r="L60" s="3"/>
    </row>
    <row r="61" spans="1:12" x14ac:dyDescent="0.25">
      <c r="A61" s="146">
        <f t="shared" si="0"/>
        <v>53</v>
      </c>
      <c r="B61" s="171" t="s">
        <v>383</v>
      </c>
      <c r="C61" s="176">
        <v>570</v>
      </c>
      <c r="D61" s="167">
        <v>39923.19</v>
      </c>
      <c r="E61" s="127"/>
      <c r="F61" s="127"/>
      <c r="G61" s="127">
        <f t="shared" si="5"/>
        <v>39923.19</v>
      </c>
      <c r="H61" s="127"/>
      <c r="I61" s="127">
        <v>10</v>
      </c>
      <c r="J61" s="96">
        <f>VLOOKUP($I61,AF!$B$15:$F$21,4)*TransExp!$G61</f>
        <v>39923.19</v>
      </c>
      <c r="K61" s="96">
        <f>VLOOKUP($I61,AF!$B$15:$F$21,5)*TransExp!$G61</f>
        <v>0</v>
      </c>
      <c r="L61" s="3"/>
    </row>
    <row r="62" spans="1:12" x14ac:dyDescent="0.25">
      <c r="A62" s="146">
        <f t="shared" si="0"/>
        <v>54</v>
      </c>
      <c r="B62" s="171" t="s">
        <v>380</v>
      </c>
      <c r="C62" s="176">
        <v>571</v>
      </c>
      <c r="D62" s="167">
        <v>48413.700000000004</v>
      </c>
      <c r="E62" s="127"/>
      <c r="F62" s="127"/>
      <c r="G62" s="127">
        <f t="shared" si="5"/>
        <v>48413.700000000004</v>
      </c>
      <c r="H62" s="127"/>
      <c r="I62" s="127">
        <v>10</v>
      </c>
      <c r="J62" s="96">
        <f>VLOOKUP($I62,AF!$B$15:$F$21,4)*TransExp!$G62</f>
        <v>48413.700000000004</v>
      </c>
      <c r="K62" s="96">
        <f>VLOOKUP($I62,AF!$B$15:$F$21,5)*TransExp!$G62</f>
        <v>0</v>
      </c>
      <c r="L62" s="3"/>
    </row>
    <row r="63" spans="1:12" x14ac:dyDescent="0.25">
      <c r="A63" s="146">
        <f t="shared" si="0"/>
        <v>55</v>
      </c>
      <c r="B63" s="171" t="s">
        <v>5</v>
      </c>
      <c r="C63" s="176">
        <v>924</v>
      </c>
      <c r="D63" s="167">
        <v>114793.52</v>
      </c>
      <c r="E63" s="127"/>
      <c r="F63" s="127"/>
      <c r="G63" s="127">
        <f t="shared" si="5"/>
        <v>114793.52</v>
      </c>
      <c r="H63" s="127"/>
      <c r="I63" s="127">
        <v>14</v>
      </c>
      <c r="J63" s="96">
        <f>VLOOKUP($I63,AF!$B$15:$F$21,4)*TransExp!$G63</f>
        <v>80737.574046342794</v>
      </c>
      <c r="K63" s="96">
        <f>VLOOKUP($I63,AF!$B$15:$F$21,5)*TransExp!$G63</f>
        <v>30544.326783428984</v>
      </c>
      <c r="L63" s="3"/>
    </row>
    <row r="64" spans="1:12" x14ac:dyDescent="0.25">
      <c r="A64" s="146">
        <f t="shared" si="0"/>
        <v>56</v>
      </c>
      <c r="B64" s="171" t="s">
        <v>2</v>
      </c>
      <c r="C64" s="176">
        <v>403</v>
      </c>
      <c r="D64" s="167">
        <v>1030940.66</v>
      </c>
      <c r="E64" s="127"/>
      <c r="F64" s="127"/>
      <c r="G64" s="127">
        <f t="shared" si="5"/>
        <v>1030940.66</v>
      </c>
      <c r="H64" s="127"/>
      <c r="I64" s="127">
        <v>16</v>
      </c>
      <c r="J64" s="96">
        <f>VLOOKUP($I64,AF!$B$15:$F$21,4)*TransExp!$G64</f>
        <v>216288.13662395795</v>
      </c>
      <c r="K64" s="96">
        <f>VLOOKUP($I64,AF!$B$15:$F$21,5)*TransExp!$G64</f>
        <v>814652.52337604214</v>
      </c>
      <c r="L64" s="3"/>
    </row>
    <row r="65" spans="1:12" x14ac:dyDescent="0.25">
      <c r="A65" s="146">
        <f t="shared" si="0"/>
        <v>57</v>
      </c>
      <c r="B65" s="171" t="s">
        <v>3</v>
      </c>
      <c r="C65" s="176">
        <v>408</v>
      </c>
      <c r="D65" s="167">
        <v>110933.22</v>
      </c>
      <c r="E65" s="127"/>
      <c r="F65" s="127"/>
      <c r="G65" s="127">
        <f t="shared" si="5"/>
        <v>110933.22</v>
      </c>
      <c r="H65" s="127"/>
      <c r="I65" s="127">
        <v>16</v>
      </c>
      <c r="J65" s="96">
        <f>VLOOKUP($I65,AF!$B$15:$F$21,4)*TransExp!$G65</f>
        <v>23273.44373389598</v>
      </c>
      <c r="K65" s="96">
        <f>VLOOKUP($I65,AF!$B$15:$F$21,5)*TransExp!$G65</f>
        <v>87659.776266104032</v>
      </c>
      <c r="L65" s="3"/>
    </row>
    <row r="66" spans="1:12" x14ac:dyDescent="0.25">
      <c r="A66" s="146">
        <f t="shared" si="0"/>
        <v>58</v>
      </c>
      <c r="B66" s="171" t="s">
        <v>4</v>
      </c>
      <c r="C66" s="176">
        <v>427</v>
      </c>
      <c r="D66" s="168">
        <v>693438.4</v>
      </c>
      <c r="E66" s="127"/>
      <c r="F66" s="177"/>
      <c r="G66" s="177">
        <f>+D66</f>
        <v>693438.4</v>
      </c>
      <c r="H66" s="127"/>
      <c r="I66" s="127">
        <v>16</v>
      </c>
      <c r="J66" s="177">
        <f>VLOOKUP($I66,AF!$B$15:$F$21,4)*TransExp!$G66</f>
        <v>145481.21460210794</v>
      </c>
      <c r="K66" s="177">
        <f>VLOOKUP($I66,AF!$B$15:$F$21,5)*TransExp!$G66</f>
        <v>547957.18539789214</v>
      </c>
      <c r="L66" s="3"/>
    </row>
    <row r="67" spans="1:12" x14ac:dyDescent="0.25">
      <c r="A67" s="146">
        <f t="shared" si="0"/>
        <v>59</v>
      </c>
      <c r="B67" s="171" t="s">
        <v>6</v>
      </c>
      <c r="C67" s="171"/>
      <c r="D67" s="96">
        <f>SUM(D58:D66)</f>
        <v>2119747.33</v>
      </c>
      <c r="E67" s="127"/>
      <c r="F67" s="127"/>
      <c r="G67" s="127">
        <f>SUM(G58:G66)</f>
        <v>2119747.33</v>
      </c>
      <c r="H67" s="127"/>
      <c r="I67" s="127"/>
      <c r="J67" s="127">
        <f>SUM(J58:J66)</f>
        <v>561477.87735573226</v>
      </c>
      <c r="K67" s="127">
        <f>SUM(K58:K66)</f>
        <v>1554757.8334740398</v>
      </c>
      <c r="L67" s="3"/>
    </row>
    <row r="68" spans="1:12" x14ac:dyDescent="0.25">
      <c r="A68" s="146">
        <f t="shared" si="0"/>
        <v>60</v>
      </c>
      <c r="B68" s="171"/>
      <c r="C68" s="171"/>
      <c r="D68" s="96"/>
      <c r="E68" s="127"/>
      <c r="F68" s="127"/>
      <c r="G68" s="127"/>
      <c r="H68" s="127"/>
      <c r="I68" s="127"/>
      <c r="J68" s="127"/>
      <c r="K68" s="127"/>
      <c r="L68" s="3"/>
    </row>
    <row r="69" spans="1:12" x14ac:dyDescent="0.25">
      <c r="A69" s="146">
        <f t="shared" si="0"/>
        <v>61</v>
      </c>
      <c r="B69" s="175" t="s">
        <v>209</v>
      </c>
      <c r="C69" s="176"/>
      <c r="D69" s="96"/>
      <c r="E69" s="127"/>
      <c r="F69" s="127"/>
      <c r="G69" s="127"/>
      <c r="H69" s="127"/>
      <c r="I69" s="127"/>
      <c r="J69" s="127"/>
      <c r="K69" s="127"/>
      <c r="L69" s="3"/>
    </row>
    <row r="70" spans="1:12" x14ac:dyDescent="0.25">
      <c r="A70" s="146">
        <f t="shared" si="0"/>
        <v>62</v>
      </c>
      <c r="B70" s="171" t="s">
        <v>376</v>
      </c>
      <c r="C70" s="176">
        <v>561</v>
      </c>
      <c r="D70" s="178">
        <v>135696.95999999999</v>
      </c>
      <c r="E70" s="127"/>
      <c r="F70" s="127">
        <f>+D70</f>
        <v>135696.95999999999</v>
      </c>
      <c r="G70" s="127"/>
      <c r="H70" s="127"/>
      <c r="I70" s="127"/>
      <c r="J70" s="96"/>
      <c r="K70" s="96"/>
      <c r="L70" s="3"/>
    </row>
    <row r="71" spans="1:12" x14ac:dyDescent="0.25">
      <c r="A71" s="146">
        <f t="shared" si="0"/>
        <v>63</v>
      </c>
      <c r="B71" s="171" t="s">
        <v>379</v>
      </c>
      <c r="C71" s="176">
        <v>562</v>
      </c>
      <c r="D71" s="178">
        <v>0</v>
      </c>
      <c r="E71" s="127"/>
      <c r="F71" s="127">
        <f t="shared" ref="F71:F78" si="6">+D71</f>
        <v>0</v>
      </c>
      <c r="G71" s="127"/>
      <c r="H71" s="127"/>
      <c r="I71" s="127"/>
      <c r="J71" s="96"/>
      <c r="K71" s="96"/>
      <c r="L71" s="3"/>
    </row>
    <row r="72" spans="1:12" x14ac:dyDescent="0.25">
      <c r="A72" s="146">
        <f t="shared" si="0"/>
        <v>64</v>
      </c>
      <c r="B72" s="171" t="s">
        <v>377</v>
      </c>
      <c r="C72" s="176">
        <v>568</v>
      </c>
      <c r="D72" s="178">
        <v>0</v>
      </c>
      <c r="E72" s="127"/>
      <c r="F72" s="127">
        <f t="shared" si="6"/>
        <v>0</v>
      </c>
      <c r="G72" s="127"/>
      <c r="H72" s="127"/>
      <c r="I72" s="127"/>
      <c r="J72" s="96"/>
      <c r="K72" s="96"/>
      <c r="L72" s="3"/>
    </row>
    <row r="73" spans="1:12" x14ac:dyDescent="0.25">
      <c r="A73" s="146">
        <f t="shared" si="0"/>
        <v>65</v>
      </c>
      <c r="B73" s="171" t="s">
        <v>383</v>
      </c>
      <c r="C73" s="176">
        <v>570</v>
      </c>
      <c r="D73" s="178">
        <v>0</v>
      </c>
      <c r="E73" s="127"/>
      <c r="F73" s="127">
        <f t="shared" si="6"/>
        <v>0</v>
      </c>
      <c r="G73" s="127"/>
      <c r="H73" s="127"/>
      <c r="I73" s="127"/>
      <c r="J73" s="96"/>
      <c r="K73" s="96"/>
      <c r="L73" s="3"/>
    </row>
    <row r="74" spans="1:12" x14ac:dyDescent="0.25">
      <c r="A74" s="146">
        <f t="shared" ref="A74:A92" si="7">+A73+1</f>
        <v>66</v>
      </c>
      <c r="B74" s="171" t="s">
        <v>380</v>
      </c>
      <c r="C74" s="176">
        <v>571</v>
      </c>
      <c r="D74" s="178">
        <v>0</v>
      </c>
      <c r="E74" s="127"/>
      <c r="F74" s="127">
        <f t="shared" si="6"/>
        <v>0</v>
      </c>
      <c r="G74" s="127"/>
      <c r="H74" s="127"/>
      <c r="I74" s="127"/>
      <c r="J74" s="96"/>
      <c r="K74" s="96"/>
      <c r="L74" s="3"/>
    </row>
    <row r="75" spans="1:12" x14ac:dyDescent="0.25">
      <c r="A75" s="146">
        <f t="shared" si="7"/>
        <v>67</v>
      </c>
      <c r="B75" s="171" t="s">
        <v>5</v>
      </c>
      <c r="C75" s="176">
        <v>924</v>
      </c>
      <c r="D75" s="178">
        <v>2086262.27</v>
      </c>
      <c r="E75" s="127"/>
      <c r="F75" s="127">
        <f t="shared" si="6"/>
        <v>2086262.27</v>
      </c>
      <c r="G75" s="127"/>
      <c r="H75" s="127"/>
      <c r="I75" s="127"/>
      <c r="J75" s="96"/>
      <c r="K75" s="96"/>
      <c r="L75" s="3"/>
    </row>
    <row r="76" spans="1:12" x14ac:dyDescent="0.25">
      <c r="A76" s="146">
        <f t="shared" si="7"/>
        <v>68</v>
      </c>
      <c r="B76" s="171" t="s">
        <v>2</v>
      </c>
      <c r="C76" s="176">
        <v>403</v>
      </c>
      <c r="D76" s="178">
        <v>26100721.829999998</v>
      </c>
      <c r="E76" s="127"/>
      <c r="F76" s="127">
        <f t="shared" si="6"/>
        <v>26100721.829999998</v>
      </c>
      <c r="G76" s="127"/>
      <c r="H76" s="127"/>
      <c r="I76" s="127"/>
      <c r="J76" s="96"/>
      <c r="K76" s="96"/>
      <c r="L76" s="3"/>
    </row>
    <row r="77" spans="1:12" x14ac:dyDescent="0.25">
      <c r="A77" s="146">
        <f t="shared" si="7"/>
        <v>69</v>
      </c>
      <c r="B77" s="171" t="s">
        <v>3</v>
      </c>
      <c r="C77" s="176">
        <v>408</v>
      </c>
      <c r="D77" s="178">
        <v>5437026.0800000001</v>
      </c>
      <c r="E77" s="127"/>
      <c r="F77" s="127">
        <f t="shared" si="6"/>
        <v>5437026.0800000001</v>
      </c>
      <c r="G77" s="127"/>
      <c r="H77" s="127"/>
      <c r="I77" s="127"/>
      <c r="J77" s="96"/>
      <c r="K77" s="96"/>
      <c r="L77" s="3"/>
    </row>
    <row r="78" spans="1:12" x14ac:dyDescent="0.25">
      <c r="A78" s="146">
        <f t="shared" si="7"/>
        <v>70</v>
      </c>
      <c r="B78" s="171" t="s">
        <v>4</v>
      </c>
      <c r="C78" s="176">
        <v>427</v>
      </c>
      <c r="D78" s="144">
        <v>25739341.239999998</v>
      </c>
      <c r="E78" s="127"/>
      <c r="F78" s="177">
        <f t="shared" si="6"/>
        <v>25739341.239999998</v>
      </c>
      <c r="G78" s="177"/>
      <c r="H78" s="177"/>
      <c r="I78" s="127"/>
      <c r="J78" s="177"/>
      <c r="K78" s="177"/>
      <c r="L78" s="3"/>
    </row>
    <row r="79" spans="1:12" x14ac:dyDescent="0.25">
      <c r="A79" s="146">
        <f t="shared" si="7"/>
        <v>71</v>
      </c>
      <c r="B79" s="171" t="s">
        <v>6</v>
      </c>
      <c r="C79" s="171"/>
      <c r="D79" s="127">
        <f>SUM(D70:D78)</f>
        <v>59499048.379999995</v>
      </c>
      <c r="E79" s="127"/>
      <c r="F79" s="127">
        <f>SUM(F70:F78)</f>
        <v>59499048.379999995</v>
      </c>
      <c r="G79" s="127"/>
      <c r="H79" s="127"/>
      <c r="I79" s="127"/>
      <c r="J79" s="127">
        <f>SUM(J70:J78)</f>
        <v>0</v>
      </c>
      <c r="K79" s="127">
        <f>SUM(K70:K78)</f>
        <v>0</v>
      </c>
      <c r="L79" s="3"/>
    </row>
    <row r="80" spans="1:12" x14ac:dyDescent="0.25">
      <c r="A80" s="146">
        <f t="shared" si="7"/>
        <v>72</v>
      </c>
      <c r="B80" s="171"/>
      <c r="C80" s="171"/>
      <c r="D80" s="96"/>
      <c r="E80" s="127"/>
      <c r="F80" s="127"/>
      <c r="G80" s="127"/>
      <c r="H80" s="127"/>
      <c r="I80" s="127"/>
      <c r="J80" s="127"/>
      <c r="K80" s="127"/>
      <c r="L80" s="3"/>
    </row>
    <row r="81" spans="1:12" x14ac:dyDescent="0.25">
      <c r="A81" s="146">
        <f t="shared" si="7"/>
        <v>73</v>
      </c>
      <c r="B81" s="179" t="s">
        <v>6</v>
      </c>
      <c r="C81" s="171"/>
      <c r="D81" s="96"/>
      <c r="E81" s="127"/>
      <c r="F81" s="127"/>
      <c r="G81" s="127"/>
      <c r="H81" s="127"/>
      <c r="I81" s="127"/>
      <c r="J81" s="127"/>
      <c r="K81" s="127"/>
      <c r="L81" s="3"/>
    </row>
    <row r="82" spans="1:12" x14ac:dyDescent="0.25">
      <c r="A82" s="146">
        <f t="shared" si="7"/>
        <v>74</v>
      </c>
      <c r="B82" s="171" t="str">
        <f t="shared" ref="B82:C83" si="8">+B10</f>
        <v>Load Dispatching</v>
      </c>
      <c r="C82" s="176">
        <f t="shared" si="8"/>
        <v>561</v>
      </c>
      <c r="D82" s="129">
        <f>+D10+D22+D34+D46+D58+D70</f>
        <v>215135.78999999998</v>
      </c>
      <c r="E82" s="171"/>
      <c r="F82" s="129">
        <f>+F10+F22+F34+F46+F58+F70</f>
        <v>135696.95999999999</v>
      </c>
      <c r="G82" s="129">
        <f>+G10+G22+G34+G46+G58+G70</f>
        <v>79438.83</v>
      </c>
      <c r="H82" s="129">
        <f>+H10+H22+H34+H46+H58+H70</f>
        <v>0</v>
      </c>
      <c r="I82" s="129"/>
      <c r="J82" s="129">
        <f>+J10+J22+J34+J46+J58+J70</f>
        <v>7191.7040620935941</v>
      </c>
      <c r="K82" s="129">
        <f>+K10+K22+K34+K46+K58+K70</f>
        <v>72247.125937906399</v>
      </c>
      <c r="L82" s="180"/>
    </row>
    <row r="83" spans="1:12" x14ac:dyDescent="0.25">
      <c r="A83" s="146">
        <f t="shared" si="7"/>
        <v>75</v>
      </c>
      <c r="B83" s="171" t="str">
        <f t="shared" si="8"/>
        <v>Station Operating Expense  (Note 1)</v>
      </c>
      <c r="C83" s="176">
        <f t="shared" si="8"/>
        <v>562</v>
      </c>
      <c r="D83" s="129">
        <f>+D11+D23+D35+D47+D59+D71-D84</f>
        <v>1865.81</v>
      </c>
      <c r="E83" s="171"/>
      <c r="F83" s="129"/>
      <c r="G83" s="129">
        <f t="shared" ref="G83:H83" si="9">+G11+G23+G35+G47+G59+G71</f>
        <v>1865.81</v>
      </c>
      <c r="H83" s="129">
        <f t="shared" si="9"/>
        <v>0</v>
      </c>
      <c r="I83" s="129"/>
      <c r="J83" s="129">
        <f t="shared" ref="J83:K83" si="10">+J11+J23+J35+J47+J59+J71</f>
        <v>168.91428733397569</v>
      </c>
      <c r="K83" s="129">
        <f t="shared" si="10"/>
        <v>1696.8957126660241</v>
      </c>
      <c r="L83" s="180"/>
    </row>
    <row r="84" spans="1:12" x14ac:dyDescent="0.25">
      <c r="A84" s="146">
        <f t="shared" si="7"/>
        <v>76</v>
      </c>
      <c r="B84" s="171" t="s">
        <v>210</v>
      </c>
      <c r="C84" s="176">
        <v>562</v>
      </c>
      <c r="D84" s="129">
        <f>+D71</f>
        <v>0</v>
      </c>
      <c r="E84" s="171"/>
      <c r="F84" s="129">
        <f>+D84</f>
        <v>0</v>
      </c>
      <c r="G84" s="129"/>
      <c r="H84" s="129"/>
      <c r="I84" s="129"/>
      <c r="J84" s="129"/>
      <c r="K84" s="129"/>
      <c r="L84" s="180"/>
    </row>
    <row r="85" spans="1:12" x14ac:dyDescent="0.25">
      <c r="A85" s="146">
        <f t="shared" si="7"/>
        <v>77</v>
      </c>
      <c r="B85" s="171" t="str">
        <f t="shared" ref="B85:C90" si="11">+B12</f>
        <v>Maintenance Supervision</v>
      </c>
      <c r="C85" s="176">
        <f t="shared" si="11"/>
        <v>568</v>
      </c>
      <c r="D85" s="129">
        <f t="shared" ref="D85:D91" si="12">+D12+D24+D36+D48+D60+D72</f>
        <v>0</v>
      </c>
      <c r="E85" s="171"/>
      <c r="F85" s="129">
        <f t="shared" ref="F85:F91" si="13">+F12+F24+F36+F48+F60+F72</f>
        <v>0</v>
      </c>
      <c r="G85" s="129">
        <f t="shared" ref="G85:H85" si="14">+G12+G24+G36+G48+G60+G72</f>
        <v>0</v>
      </c>
      <c r="H85" s="129">
        <f t="shared" si="14"/>
        <v>0</v>
      </c>
      <c r="I85" s="129"/>
      <c r="J85" s="129">
        <f t="shared" ref="J85:K85" si="15">+J12+J24+J36+J48+J60+J72</f>
        <v>0</v>
      </c>
      <c r="K85" s="129">
        <f t="shared" si="15"/>
        <v>0</v>
      </c>
      <c r="L85" s="180"/>
    </row>
    <row r="86" spans="1:12" x14ac:dyDescent="0.25">
      <c r="A86" s="146">
        <f t="shared" si="7"/>
        <v>78</v>
      </c>
      <c r="B86" s="171" t="str">
        <f t="shared" si="11"/>
        <v>Maintenance Station Equipment (Note 2)</v>
      </c>
      <c r="C86" s="176">
        <f t="shared" si="11"/>
        <v>570</v>
      </c>
      <c r="D86" s="129">
        <f t="shared" si="12"/>
        <v>169245.83000000002</v>
      </c>
      <c r="E86" s="171"/>
      <c r="F86" s="129">
        <f t="shared" si="13"/>
        <v>0</v>
      </c>
      <c r="G86" s="129">
        <f t="shared" ref="G86:H86" si="16">+G13+G25+G37+G49+G61+G73</f>
        <v>39923.19</v>
      </c>
      <c r="H86" s="129">
        <f t="shared" si="16"/>
        <v>129322.64</v>
      </c>
      <c r="I86" s="129"/>
      <c r="J86" s="129">
        <f t="shared" ref="J86:K86" si="17">+J13+J25+J37+J49+J61+J73</f>
        <v>39923.19</v>
      </c>
      <c r="K86" s="129">
        <f t="shared" si="17"/>
        <v>0</v>
      </c>
      <c r="L86" s="180"/>
    </row>
    <row r="87" spans="1:12" x14ac:dyDescent="0.25">
      <c r="A87" s="146">
        <f t="shared" si="7"/>
        <v>79</v>
      </c>
      <c r="B87" s="171" t="str">
        <f t="shared" si="11"/>
        <v>Maintenance OH Lines (Note 3)</v>
      </c>
      <c r="C87" s="176">
        <f t="shared" si="11"/>
        <v>571</v>
      </c>
      <c r="D87" s="129">
        <f t="shared" si="12"/>
        <v>95815.590000000011</v>
      </c>
      <c r="E87" s="171"/>
      <c r="F87" s="129">
        <f t="shared" si="13"/>
        <v>0</v>
      </c>
      <c r="G87" s="129">
        <f t="shared" ref="G87:H87" si="18">+G14+G26+G38+G50+G62+G74</f>
        <v>53097.702848602319</v>
      </c>
      <c r="H87" s="129">
        <f t="shared" si="18"/>
        <v>42717.887151397692</v>
      </c>
      <c r="I87" s="129"/>
      <c r="J87" s="129">
        <f t="shared" ref="J87:K87" si="19">+J14+J26+J38+J50+J62+J74</f>
        <v>53097.702848602319</v>
      </c>
      <c r="K87" s="129">
        <f t="shared" si="19"/>
        <v>0</v>
      </c>
      <c r="L87" s="180"/>
    </row>
    <row r="88" spans="1:12" x14ac:dyDescent="0.25">
      <c r="A88" s="146">
        <f t="shared" si="7"/>
        <v>80</v>
      </c>
      <c r="B88" s="171" t="str">
        <f t="shared" si="11"/>
        <v>Insurance</v>
      </c>
      <c r="C88" s="176">
        <f t="shared" si="11"/>
        <v>924</v>
      </c>
      <c r="D88" s="129">
        <f t="shared" si="12"/>
        <v>2288078.61</v>
      </c>
      <c r="E88" s="171"/>
      <c r="F88" s="129">
        <f t="shared" si="13"/>
        <v>2086262.27</v>
      </c>
      <c r="G88" s="129">
        <f t="shared" ref="G88:H88" si="20">+G15+G27+G39+G51+G63+G75</f>
        <v>155341.7540356745</v>
      </c>
      <c r="H88" s="129">
        <f t="shared" si="20"/>
        <v>46474.585964325517</v>
      </c>
      <c r="I88" s="129"/>
      <c r="J88" s="129">
        <f t="shared" ref="J88:K88" si="21">+J15+J27+J39+J51+J63+J75</f>
        <v>84408.460178793161</v>
      </c>
      <c r="K88" s="129">
        <f t="shared" si="21"/>
        <v>67421.674686653103</v>
      </c>
      <c r="L88" s="180"/>
    </row>
    <row r="89" spans="1:12" x14ac:dyDescent="0.25">
      <c r="A89" s="146">
        <f t="shared" si="7"/>
        <v>81</v>
      </c>
      <c r="B89" s="171" t="str">
        <f t="shared" si="11"/>
        <v>Depreciation</v>
      </c>
      <c r="C89" s="176">
        <f t="shared" si="11"/>
        <v>403</v>
      </c>
      <c r="D89" s="129">
        <f t="shared" si="12"/>
        <v>28378669.229999997</v>
      </c>
      <c r="E89" s="171"/>
      <c r="F89" s="129">
        <f t="shared" si="13"/>
        <v>26100721.829999998</v>
      </c>
      <c r="G89" s="129">
        <f t="shared" ref="G89:H89" si="22">+G16+G28+G40+G52+G64+G76</f>
        <v>1859331.2019145363</v>
      </c>
      <c r="H89" s="129">
        <f t="shared" si="22"/>
        <v>418616.19808546366</v>
      </c>
      <c r="I89" s="129"/>
      <c r="J89" s="129">
        <f>+J16+J28+J40+J52+J64+J76</f>
        <v>657333.54228024906</v>
      </c>
      <c r="K89" s="129">
        <f t="shared" ref="K89" si="23">+K16+K28+K40+K52+K64+K76</f>
        <v>1197994.7692717582</v>
      </c>
      <c r="L89" s="180"/>
    </row>
    <row r="90" spans="1:12" x14ac:dyDescent="0.25">
      <c r="A90" s="146">
        <f t="shared" si="7"/>
        <v>82</v>
      </c>
      <c r="B90" s="171" t="str">
        <f t="shared" si="11"/>
        <v>Property Taxes</v>
      </c>
      <c r="C90" s="176">
        <f t="shared" si="11"/>
        <v>408</v>
      </c>
      <c r="D90" s="129">
        <f t="shared" si="12"/>
        <v>5696528.0800000001</v>
      </c>
      <c r="E90" s="171"/>
      <c r="F90" s="129">
        <f t="shared" si="13"/>
        <v>5437026.0800000001</v>
      </c>
      <c r="G90" s="129">
        <f t="shared" ref="G90:H90" si="24">+G17+G29+G41+G53+G65+G77</f>
        <v>181390.55826974433</v>
      </c>
      <c r="H90" s="129">
        <f t="shared" si="24"/>
        <v>78111.441730255669</v>
      </c>
      <c r="I90" s="129"/>
      <c r="J90" s="129">
        <f t="shared" ref="J90:K90" si="25">+J17+J29+J41+J53+J65+J77</f>
        <v>71667.417639150182</v>
      </c>
      <c r="K90" s="129">
        <f t="shared" si="25"/>
        <v>107742.72498547443</v>
      </c>
      <c r="L90" s="180"/>
    </row>
    <row r="91" spans="1:12" x14ac:dyDescent="0.25">
      <c r="A91" s="146">
        <f t="shared" si="7"/>
        <v>83</v>
      </c>
      <c r="B91" s="171" t="str">
        <f t="shared" ref="B91:C91" si="26">+B18</f>
        <v>Interest</v>
      </c>
      <c r="C91" s="176">
        <f t="shared" si="26"/>
        <v>427</v>
      </c>
      <c r="D91" s="130">
        <f t="shared" si="12"/>
        <v>28094036.989999998</v>
      </c>
      <c r="E91" s="171"/>
      <c r="F91" s="130">
        <f t="shared" si="13"/>
        <v>25739341.239999998</v>
      </c>
      <c r="G91" s="130">
        <f t="shared" ref="G91:H91" si="27">+G18+G30+G42+G54+G66+G78</f>
        <v>1805385.403748353</v>
      </c>
      <c r="H91" s="130">
        <f t="shared" si="27"/>
        <v>549310.34625164699</v>
      </c>
      <c r="I91" s="129"/>
      <c r="J91" s="130">
        <f t="shared" ref="J91:K91" si="28">+J18+J30+J42+J54+J66+J78</f>
        <v>738868.00894229929</v>
      </c>
      <c r="K91" s="130">
        <f t="shared" si="28"/>
        <v>1060937.4885231103</v>
      </c>
      <c r="L91" s="180"/>
    </row>
    <row r="92" spans="1:12" x14ac:dyDescent="0.25">
      <c r="A92" s="146">
        <f t="shared" si="7"/>
        <v>84</v>
      </c>
      <c r="B92" s="135" t="s">
        <v>1</v>
      </c>
      <c r="D92" s="136">
        <f>SUM(D82:D91)</f>
        <v>64939375.929999992</v>
      </c>
      <c r="F92" s="136">
        <f>SUM(F82:F91)</f>
        <v>59499048.379999995</v>
      </c>
      <c r="G92" s="136">
        <f>SUM(G82:G91)</f>
        <v>4175774.4508169102</v>
      </c>
      <c r="H92" s="136">
        <f>SUM(H82:H91)</f>
        <v>1264553.0991830896</v>
      </c>
      <c r="I92" s="136"/>
      <c r="J92" s="136">
        <f>SUM(J82:J91)</f>
        <v>1652658.9402385214</v>
      </c>
      <c r="K92" s="136">
        <f>SUM(K82:K91)</f>
        <v>2508040.6791175688</v>
      </c>
    </row>
    <row r="93" spans="1:12" x14ac:dyDescent="0.25">
      <c r="A93" s="146"/>
      <c r="D93" s="136"/>
      <c r="F93" s="136"/>
      <c r="G93" s="136"/>
      <c r="H93" s="136"/>
      <c r="I93" s="136"/>
      <c r="J93" s="136"/>
      <c r="K93" s="136"/>
    </row>
    <row r="94" spans="1:12" x14ac:dyDescent="0.25">
      <c r="C94" s="146"/>
      <c r="D94" s="146"/>
      <c r="E94" s="146"/>
      <c r="F94" s="146"/>
    </row>
    <row r="95" spans="1:12" x14ac:dyDescent="0.25">
      <c r="B95" s="181" t="s">
        <v>449</v>
      </c>
      <c r="C95" s="131"/>
      <c r="D95" s="131"/>
      <c r="E95" s="146"/>
      <c r="F95" s="131"/>
    </row>
    <row r="96" spans="1:12" x14ac:dyDescent="0.25">
      <c r="B96" s="171"/>
      <c r="C96" s="125"/>
      <c r="D96" s="125"/>
      <c r="F96" s="136"/>
      <c r="H96" s="136"/>
    </row>
    <row r="97" spans="2:6" x14ac:dyDescent="0.25">
      <c r="B97" s="171"/>
      <c r="C97" s="125"/>
      <c r="D97" s="125"/>
      <c r="F97" s="136"/>
    </row>
    <row r="98" spans="2:6" x14ac:dyDescent="0.25">
      <c r="B98" s="171"/>
      <c r="C98" s="125"/>
      <c r="D98" s="125"/>
      <c r="F98" s="136"/>
    </row>
    <row r="99" spans="2:6" x14ac:dyDescent="0.25">
      <c r="B99" s="171"/>
      <c r="C99" s="127"/>
      <c r="D99" s="127"/>
    </row>
  </sheetData>
  <mergeCells count="3">
    <mergeCell ref="B2:L2"/>
    <mergeCell ref="B3:L3"/>
    <mergeCell ref="B1:K1"/>
  </mergeCells>
  <pageMargins left="0.2" right="0.2" top="0.75" bottom="0.75" header="0.3" footer="0.3"/>
  <pageSetup scale="75" orientation="landscape" r:id="rId1"/>
  <headerFooter>
    <oddHeader xml:space="preserve">&amp;RSchedule E1.0
</oddHeader>
    <oddFooter>&amp;L&amp;Z&amp;F&amp;R&amp;D</oddFooter>
  </headerFooter>
  <rowBreaks count="2" manualBreakCount="2">
    <brk id="44" max="10" man="1"/>
    <brk id="6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60"/>
  <sheetViews>
    <sheetView zoomScaleNormal="100" workbookViewId="0"/>
  </sheetViews>
  <sheetFormatPr defaultRowHeight="12.75" x14ac:dyDescent="0.2"/>
  <cols>
    <col min="1" max="1" width="4.28515625" style="11" customWidth="1"/>
    <col min="2" max="2" width="5.7109375" style="11" customWidth="1"/>
    <col min="3" max="3" width="34.42578125" style="11" customWidth="1"/>
    <col min="4" max="4" width="16.85546875" style="11" bestFit="1" customWidth="1"/>
    <col min="5" max="5" width="13" style="11" customWidth="1"/>
    <col min="6" max="6" width="12.28515625" style="11" bestFit="1" customWidth="1"/>
    <col min="7" max="8" width="13.5703125" style="11" customWidth="1"/>
    <col min="9" max="9" width="12.42578125" style="11" customWidth="1"/>
    <col min="10" max="10" width="10.28515625" style="11" bestFit="1" customWidth="1"/>
    <col min="11" max="11" width="7.28515625" style="11" customWidth="1"/>
    <col min="12" max="248" width="9.140625" style="11"/>
    <col min="249" max="249" width="5.7109375" style="11" customWidth="1"/>
    <col min="250" max="250" width="26.7109375" style="11" customWidth="1"/>
    <col min="251" max="252" width="11.7109375" style="11" customWidth="1"/>
    <col min="253" max="253" width="1.7109375" style="11" customWidth="1"/>
    <col min="254" max="254" width="13" style="11" customWidth="1"/>
    <col min="255" max="255" width="11.85546875" style="11" customWidth="1"/>
    <col min="256" max="256" width="11.42578125" style="11" customWidth="1"/>
    <col min="257" max="257" width="1.7109375" style="11" customWidth="1"/>
    <col min="258" max="258" width="14.28515625" style="11" bestFit="1" customWidth="1"/>
    <col min="259" max="259" width="15.85546875" style="11" bestFit="1" customWidth="1"/>
    <col min="260" max="260" width="11.140625" style="11" customWidth="1"/>
    <col min="261" max="261" width="1.7109375" style="11" customWidth="1"/>
    <col min="262" max="262" width="14.140625" style="11" bestFit="1" customWidth="1"/>
    <col min="263" max="263" width="14.28515625" style="11" bestFit="1" customWidth="1"/>
    <col min="264" max="264" width="11.140625" style="11" customWidth="1"/>
    <col min="265" max="504" width="9.140625" style="11"/>
    <col min="505" max="505" width="5.7109375" style="11" customWidth="1"/>
    <col min="506" max="506" width="26.7109375" style="11" customWidth="1"/>
    <col min="507" max="508" width="11.7109375" style="11" customWidth="1"/>
    <col min="509" max="509" width="1.7109375" style="11" customWidth="1"/>
    <col min="510" max="510" width="13" style="11" customWidth="1"/>
    <col min="511" max="511" width="11.85546875" style="11" customWidth="1"/>
    <col min="512" max="512" width="11.42578125" style="11" customWidth="1"/>
    <col min="513" max="513" width="1.7109375" style="11" customWidth="1"/>
    <col min="514" max="514" width="14.28515625" style="11" bestFit="1" customWidth="1"/>
    <col min="515" max="515" width="15.85546875" style="11" bestFit="1" customWidth="1"/>
    <col min="516" max="516" width="11.140625" style="11" customWidth="1"/>
    <col min="517" max="517" width="1.7109375" style="11" customWidth="1"/>
    <col min="518" max="518" width="14.140625" style="11" bestFit="1" customWidth="1"/>
    <col min="519" max="519" width="14.28515625" style="11" bestFit="1" customWidth="1"/>
    <col min="520" max="520" width="11.140625" style="11" customWidth="1"/>
    <col min="521" max="760" width="9.140625" style="11"/>
    <col min="761" max="761" width="5.7109375" style="11" customWidth="1"/>
    <col min="762" max="762" width="26.7109375" style="11" customWidth="1"/>
    <col min="763" max="764" width="11.7109375" style="11" customWidth="1"/>
    <col min="765" max="765" width="1.7109375" style="11" customWidth="1"/>
    <col min="766" max="766" width="13" style="11" customWidth="1"/>
    <col min="767" max="767" width="11.85546875" style="11" customWidth="1"/>
    <col min="768" max="768" width="11.42578125" style="11" customWidth="1"/>
    <col min="769" max="769" width="1.7109375" style="11" customWidth="1"/>
    <col min="770" max="770" width="14.28515625" style="11" bestFit="1" customWidth="1"/>
    <col min="771" max="771" width="15.85546875" style="11" bestFit="1" customWidth="1"/>
    <col min="772" max="772" width="11.140625" style="11" customWidth="1"/>
    <col min="773" max="773" width="1.7109375" style="11" customWidth="1"/>
    <col min="774" max="774" width="14.140625" style="11" bestFit="1" customWidth="1"/>
    <col min="775" max="775" width="14.28515625" style="11" bestFit="1" customWidth="1"/>
    <col min="776" max="776" width="11.140625" style="11" customWidth="1"/>
    <col min="777" max="1016" width="9.140625" style="11"/>
    <col min="1017" max="1017" width="5.7109375" style="11" customWidth="1"/>
    <col min="1018" max="1018" width="26.7109375" style="11" customWidth="1"/>
    <col min="1019" max="1020" width="11.7109375" style="11" customWidth="1"/>
    <col min="1021" max="1021" width="1.7109375" style="11" customWidth="1"/>
    <col min="1022" max="1022" width="13" style="11" customWidth="1"/>
    <col min="1023" max="1023" width="11.85546875" style="11" customWidth="1"/>
    <col min="1024" max="1024" width="11.42578125" style="11" customWidth="1"/>
    <col min="1025" max="1025" width="1.7109375" style="11" customWidth="1"/>
    <col min="1026" max="1026" width="14.28515625" style="11" bestFit="1" customWidth="1"/>
    <col min="1027" max="1027" width="15.85546875" style="11" bestFit="1" customWidth="1"/>
    <col min="1028" max="1028" width="11.140625" style="11" customWidth="1"/>
    <col min="1029" max="1029" width="1.7109375" style="11" customWidth="1"/>
    <col min="1030" max="1030" width="14.140625" style="11" bestFit="1" customWidth="1"/>
    <col min="1031" max="1031" width="14.28515625" style="11" bestFit="1" customWidth="1"/>
    <col min="1032" max="1032" width="11.140625" style="11" customWidth="1"/>
    <col min="1033" max="1272" width="9.140625" style="11"/>
    <col min="1273" max="1273" width="5.7109375" style="11" customWidth="1"/>
    <col min="1274" max="1274" width="26.7109375" style="11" customWidth="1"/>
    <col min="1275" max="1276" width="11.7109375" style="11" customWidth="1"/>
    <col min="1277" max="1277" width="1.7109375" style="11" customWidth="1"/>
    <col min="1278" max="1278" width="13" style="11" customWidth="1"/>
    <col min="1279" max="1279" width="11.85546875" style="11" customWidth="1"/>
    <col min="1280" max="1280" width="11.42578125" style="11" customWidth="1"/>
    <col min="1281" max="1281" width="1.7109375" style="11" customWidth="1"/>
    <col min="1282" max="1282" width="14.28515625" style="11" bestFit="1" customWidth="1"/>
    <col min="1283" max="1283" width="15.85546875" style="11" bestFit="1" customWidth="1"/>
    <col min="1284" max="1284" width="11.140625" style="11" customWidth="1"/>
    <col min="1285" max="1285" width="1.7109375" style="11" customWidth="1"/>
    <col min="1286" max="1286" width="14.140625" style="11" bestFit="1" customWidth="1"/>
    <col min="1287" max="1287" width="14.28515625" style="11" bestFit="1" customWidth="1"/>
    <col min="1288" max="1288" width="11.140625" style="11" customWidth="1"/>
    <col min="1289" max="1528" width="9.140625" style="11"/>
    <col min="1529" max="1529" width="5.7109375" style="11" customWidth="1"/>
    <col min="1530" max="1530" width="26.7109375" style="11" customWidth="1"/>
    <col min="1531" max="1532" width="11.7109375" style="11" customWidth="1"/>
    <col min="1533" max="1533" width="1.7109375" style="11" customWidth="1"/>
    <col min="1534" max="1534" width="13" style="11" customWidth="1"/>
    <col min="1535" max="1535" width="11.85546875" style="11" customWidth="1"/>
    <col min="1536" max="1536" width="11.42578125" style="11" customWidth="1"/>
    <col min="1537" max="1537" width="1.7109375" style="11" customWidth="1"/>
    <col min="1538" max="1538" width="14.28515625" style="11" bestFit="1" customWidth="1"/>
    <col min="1539" max="1539" width="15.85546875" style="11" bestFit="1" customWidth="1"/>
    <col min="1540" max="1540" width="11.140625" style="11" customWidth="1"/>
    <col min="1541" max="1541" width="1.7109375" style="11" customWidth="1"/>
    <col min="1542" max="1542" width="14.140625" style="11" bestFit="1" customWidth="1"/>
    <col min="1543" max="1543" width="14.28515625" style="11" bestFit="1" customWidth="1"/>
    <col min="1544" max="1544" width="11.140625" style="11" customWidth="1"/>
    <col min="1545" max="1784" width="9.140625" style="11"/>
    <col min="1785" max="1785" width="5.7109375" style="11" customWidth="1"/>
    <col min="1786" max="1786" width="26.7109375" style="11" customWidth="1"/>
    <col min="1787" max="1788" width="11.7109375" style="11" customWidth="1"/>
    <col min="1789" max="1789" width="1.7109375" style="11" customWidth="1"/>
    <col min="1790" max="1790" width="13" style="11" customWidth="1"/>
    <col min="1791" max="1791" width="11.85546875" style="11" customWidth="1"/>
    <col min="1792" max="1792" width="11.42578125" style="11" customWidth="1"/>
    <col min="1793" max="1793" width="1.7109375" style="11" customWidth="1"/>
    <col min="1794" max="1794" width="14.28515625" style="11" bestFit="1" customWidth="1"/>
    <col min="1795" max="1795" width="15.85546875" style="11" bestFit="1" customWidth="1"/>
    <col min="1796" max="1796" width="11.140625" style="11" customWidth="1"/>
    <col min="1797" max="1797" width="1.7109375" style="11" customWidth="1"/>
    <col min="1798" max="1798" width="14.140625" style="11" bestFit="1" customWidth="1"/>
    <col min="1799" max="1799" width="14.28515625" style="11" bestFit="1" customWidth="1"/>
    <col min="1800" max="1800" width="11.140625" style="11" customWidth="1"/>
    <col min="1801" max="2040" width="9.140625" style="11"/>
    <col min="2041" max="2041" width="5.7109375" style="11" customWidth="1"/>
    <col min="2042" max="2042" width="26.7109375" style="11" customWidth="1"/>
    <col min="2043" max="2044" width="11.7109375" style="11" customWidth="1"/>
    <col min="2045" max="2045" width="1.7109375" style="11" customWidth="1"/>
    <col min="2046" max="2046" width="13" style="11" customWidth="1"/>
    <col min="2047" max="2047" width="11.85546875" style="11" customWidth="1"/>
    <col min="2048" max="2048" width="11.42578125" style="11" customWidth="1"/>
    <col min="2049" max="2049" width="1.7109375" style="11" customWidth="1"/>
    <col min="2050" max="2050" width="14.28515625" style="11" bestFit="1" customWidth="1"/>
    <col min="2051" max="2051" width="15.85546875" style="11" bestFit="1" customWidth="1"/>
    <col min="2052" max="2052" width="11.140625" style="11" customWidth="1"/>
    <col min="2053" max="2053" width="1.7109375" style="11" customWidth="1"/>
    <col min="2054" max="2054" width="14.140625" style="11" bestFit="1" customWidth="1"/>
    <col min="2055" max="2055" width="14.28515625" style="11" bestFit="1" customWidth="1"/>
    <col min="2056" max="2056" width="11.140625" style="11" customWidth="1"/>
    <col min="2057" max="2296" width="9.140625" style="11"/>
    <col min="2297" max="2297" width="5.7109375" style="11" customWidth="1"/>
    <col min="2298" max="2298" width="26.7109375" style="11" customWidth="1"/>
    <col min="2299" max="2300" width="11.7109375" style="11" customWidth="1"/>
    <col min="2301" max="2301" width="1.7109375" style="11" customWidth="1"/>
    <col min="2302" max="2302" width="13" style="11" customWidth="1"/>
    <col min="2303" max="2303" width="11.85546875" style="11" customWidth="1"/>
    <col min="2304" max="2304" width="11.42578125" style="11" customWidth="1"/>
    <col min="2305" max="2305" width="1.7109375" style="11" customWidth="1"/>
    <col min="2306" max="2306" width="14.28515625" style="11" bestFit="1" customWidth="1"/>
    <col min="2307" max="2307" width="15.85546875" style="11" bestFit="1" customWidth="1"/>
    <col min="2308" max="2308" width="11.140625" style="11" customWidth="1"/>
    <col min="2309" max="2309" width="1.7109375" style="11" customWidth="1"/>
    <col min="2310" max="2310" width="14.140625" style="11" bestFit="1" customWidth="1"/>
    <col min="2311" max="2311" width="14.28515625" style="11" bestFit="1" customWidth="1"/>
    <col min="2312" max="2312" width="11.140625" style="11" customWidth="1"/>
    <col min="2313" max="2552" width="9.140625" style="11"/>
    <col min="2553" max="2553" width="5.7109375" style="11" customWidth="1"/>
    <col min="2554" max="2554" width="26.7109375" style="11" customWidth="1"/>
    <col min="2555" max="2556" width="11.7109375" style="11" customWidth="1"/>
    <col min="2557" max="2557" width="1.7109375" style="11" customWidth="1"/>
    <col min="2558" max="2558" width="13" style="11" customWidth="1"/>
    <col min="2559" max="2559" width="11.85546875" style="11" customWidth="1"/>
    <col min="2560" max="2560" width="11.42578125" style="11" customWidth="1"/>
    <col min="2561" max="2561" width="1.7109375" style="11" customWidth="1"/>
    <col min="2562" max="2562" width="14.28515625" style="11" bestFit="1" customWidth="1"/>
    <col min="2563" max="2563" width="15.85546875" style="11" bestFit="1" customWidth="1"/>
    <col min="2564" max="2564" width="11.140625" style="11" customWidth="1"/>
    <col min="2565" max="2565" width="1.7109375" style="11" customWidth="1"/>
    <col min="2566" max="2566" width="14.140625" style="11" bestFit="1" customWidth="1"/>
    <col min="2567" max="2567" width="14.28515625" style="11" bestFit="1" customWidth="1"/>
    <col min="2568" max="2568" width="11.140625" style="11" customWidth="1"/>
    <col min="2569" max="2808" width="9.140625" style="11"/>
    <col min="2809" max="2809" width="5.7109375" style="11" customWidth="1"/>
    <col min="2810" max="2810" width="26.7109375" style="11" customWidth="1"/>
    <col min="2811" max="2812" width="11.7109375" style="11" customWidth="1"/>
    <col min="2813" max="2813" width="1.7109375" style="11" customWidth="1"/>
    <col min="2814" max="2814" width="13" style="11" customWidth="1"/>
    <col min="2815" max="2815" width="11.85546875" style="11" customWidth="1"/>
    <col min="2816" max="2816" width="11.42578125" style="11" customWidth="1"/>
    <col min="2817" max="2817" width="1.7109375" style="11" customWidth="1"/>
    <col min="2818" max="2818" width="14.28515625" style="11" bestFit="1" customWidth="1"/>
    <col min="2819" max="2819" width="15.85546875" style="11" bestFit="1" customWidth="1"/>
    <col min="2820" max="2820" width="11.140625" style="11" customWidth="1"/>
    <col min="2821" max="2821" width="1.7109375" style="11" customWidth="1"/>
    <col min="2822" max="2822" width="14.140625" style="11" bestFit="1" customWidth="1"/>
    <col min="2823" max="2823" width="14.28515625" style="11" bestFit="1" customWidth="1"/>
    <col min="2824" max="2824" width="11.140625" style="11" customWidth="1"/>
    <col min="2825" max="3064" width="9.140625" style="11"/>
    <col min="3065" max="3065" width="5.7109375" style="11" customWidth="1"/>
    <col min="3066" max="3066" width="26.7109375" style="11" customWidth="1"/>
    <col min="3067" max="3068" width="11.7109375" style="11" customWidth="1"/>
    <col min="3069" max="3069" width="1.7109375" style="11" customWidth="1"/>
    <col min="3070" max="3070" width="13" style="11" customWidth="1"/>
    <col min="3071" max="3071" width="11.85546875" style="11" customWidth="1"/>
    <col min="3072" max="3072" width="11.42578125" style="11" customWidth="1"/>
    <col min="3073" max="3073" width="1.7109375" style="11" customWidth="1"/>
    <col min="3074" max="3074" width="14.28515625" style="11" bestFit="1" customWidth="1"/>
    <col min="3075" max="3075" width="15.85546875" style="11" bestFit="1" customWidth="1"/>
    <col min="3076" max="3076" width="11.140625" style="11" customWidth="1"/>
    <col min="3077" max="3077" width="1.7109375" style="11" customWidth="1"/>
    <col min="3078" max="3078" width="14.140625" style="11" bestFit="1" customWidth="1"/>
    <col min="3079" max="3079" width="14.28515625" style="11" bestFit="1" customWidth="1"/>
    <col min="3080" max="3080" width="11.140625" style="11" customWidth="1"/>
    <col min="3081" max="3320" width="9.140625" style="11"/>
    <col min="3321" max="3321" width="5.7109375" style="11" customWidth="1"/>
    <col min="3322" max="3322" width="26.7109375" style="11" customWidth="1"/>
    <col min="3323" max="3324" width="11.7109375" style="11" customWidth="1"/>
    <col min="3325" max="3325" width="1.7109375" style="11" customWidth="1"/>
    <col min="3326" max="3326" width="13" style="11" customWidth="1"/>
    <col min="3327" max="3327" width="11.85546875" style="11" customWidth="1"/>
    <col min="3328" max="3328" width="11.42578125" style="11" customWidth="1"/>
    <col min="3329" max="3329" width="1.7109375" style="11" customWidth="1"/>
    <col min="3330" max="3330" width="14.28515625" style="11" bestFit="1" customWidth="1"/>
    <col min="3331" max="3331" width="15.85546875" style="11" bestFit="1" customWidth="1"/>
    <col min="3332" max="3332" width="11.140625" style="11" customWidth="1"/>
    <col min="3333" max="3333" width="1.7109375" style="11" customWidth="1"/>
    <col min="3334" max="3334" width="14.140625" style="11" bestFit="1" customWidth="1"/>
    <col min="3335" max="3335" width="14.28515625" style="11" bestFit="1" customWidth="1"/>
    <col min="3336" max="3336" width="11.140625" style="11" customWidth="1"/>
    <col min="3337" max="3576" width="9.140625" style="11"/>
    <col min="3577" max="3577" width="5.7109375" style="11" customWidth="1"/>
    <col min="3578" max="3578" width="26.7109375" style="11" customWidth="1"/>
    <col min="3579" max="3580" width="11.7109375" style="11" customWidth="1"/>
    <col min="3581" max="3581" width="1.7109375" style="11" customWidth="1"/>
    <col min="3582" max="3582" width="13" style="11" customWidth="1"/>
    <col min="3583" max="3583" width="11.85546875" style="11" customWidth="1"/>
    <col min="3584" max="3584" width="11.42578125" style="11" customWidth="1"/>
    <col min="3585" max="3585" width="1.7109375" style="11" customWidth="1"/>
    <col min="3586" max="3586" width="14.28515625" style="11" bestFit="1" customWidth="1"/>
    <col min="3587" max="3587" width="15.85546875" style="11" bestFit="1" customWidth="1"/>
    <col min="3588" max="3588" width="11.140625" style="11" customWidth="1"/>
    <col min="3589" max="3589" width="1.7109375" style="11" customWidth="1"/>
    <col min="3590" max="3590" width="14.140625" style="11" bestFit="1" customWidth="1"/>
    <col min="3591" max="3591" width="14.28515625" style="11" bestFit="1" customWidth="1"/>
    <col min="3592" max="3592" width="11.140625" style="11" customWidth="1"/>
    <col min="3593" max="3832" width="9.140625" style="11"/>
    <col min="3833" max="3833" width="5.7109375" style="11" customWidth="1"/>
    <col min="3834" max="3834" width="26.7109375" style="11" customWidth="1"/>
    <col min="3835" max="3836" width="11.7109375" style="11" customWidth="1"/>
    <col min="3837" max="3837" width="1.7109375" style="11" customWidth="1"/>
    <col min="3838" max="3838" width="13" style="11" customWidth="1"/>
    <col min="3839" max="3839" width="11.85546875" style="11" customWidth="1"/>
    <col min="3840" max="3840" width="11.42578125" style="11" customWidth="1"/>
    <col min="3841" max="3841" width="1.7109375" style="11" customWidth="1"/>
    <col min="3842" max="3842" width="14.28515625" style="11" bestFit="1" customWidth="1"/>
    <col min="3843" max="3843" width="15.85546875" style="11" bestFit="1" customWidth="1"/>
    <col min="3844" max="3844" width="11.140625" style="11" customWidth="1"/>
    <col min="3845" max="3845" width="1.7109375" style="11" customWidth="1"/>
    <col min="3846" max="3846" width="14.140625" style="11" bestFit="1" customWidth="1"/>
    <col min="3847" max="3847" width="14.28515625" style="11" bestFit="1" customWidth="1"/>
    <col min="3848" max="3848" width="11.140625" style="11" customWidth="1"/>
    <col min="3849" max="4088" width="9.140625" style="11"/>
    <col min="4089" max="4089" width="5.7109375" style="11" customWidth="1"/>
    <col min="4090" max="4090" width="26.7109375" style="11" customWidth="1"/>
    <col min="4091" max="4092" width="11.7109375" style="11" customWidth="1"/>
    <col min="4093" max="4093" width="1.7109375" style="11" customWidth="1"/>
    <col min="4094" max="4094" width="13" style="11" customWidth="1"/>
    <col min="4095" max="4095" width="11.85546875" style="11" customWidth="1"/>
    <col min="4096" max="4096" width="11.42578125" style="11" customWidth="1"/>
    <col min="4097" max="4097" width="1.7109375" style="11" customWidth="1"/>
    <col min="4098" max="4098" width="14.28515625" style="11" bestFit="1" customWidth="1"/>
    <col min="4099" max="4099" width="15.85546875" style="11" bestFit="1" customWidth="1"/>
    <col min="4100" max="4100" width="11.140625" style="11" customWidth="1"/>
    <col min="4101" max="4101" width="1.7109375" style="11" customWidth="1"/>
    <col min="4102" max="4102" width="14.140625" style="11" bestFit="1" customWidth="1"/>
    <col min="4103" max="4103" width="14.28515625" style="11" bestFit="1" customWidth="1"/>
    <col min="4104" max="4104" width="11.140625" style="11" customWidth="1"/>
    <col min="4105" max="4344" width="9.140625" style="11"/>
    <col min="4345" max="4345" width="5.7109375" style="11" customWidth="1"/>
    <col min="4346" max="4346" width="26.7109375" style="11" customWidth="1"/>
    <col min="4347" max="4348" width="11.7109375" style="11" customWidth="1"/>
    <col min="4349" max="4349" width="1.7109375" style="11" customWidth="1"/>
    <col min="4350" max="4350" width="13" style="11" customWidth="1"/>
    <col min="4351" max="4351" width="11.85546875" style="11" customWidth="1"/>
    <col min="4352" max="4352" width="11.42578125" style="11" customWidth="1"/>
    <col min="4353" max="4353" width="1.7109375" style="11" customWidth="1"/>
    <col min="4354" max="4354" width="14.28515625" style="11" bestFit="1" customWidth="1"/>
    <col min="4355" max="4355" width="15.85546875" style="11" bestFit="1" customWidth="1"/>
    <col min="4356" max="4356" width="11.140625" style="11" customWidth="1"/>
    <col min="4357" max="4357" width="1.7109375" style="11" customWidth="1"/>
    <col min="4358" max="4358" width="14.140625" style="11" bestFit="1" customWidth="1"/>
    <col min="4359" max="4359" width="14.28515625" style="11" bestFit="1" customWidth="1"/>
    <col min="4360" max="4360" width="11.140625" style="11" customWidth="1"/>
    <col min="4361" max="4600" width="9.140625" style="11"/>
    <col min="4601" max="4601" width="5.7109375" style="11" customWidth="1"/>
    <col min="4602" max="4602" width="26.7109375" style="11" customWidth="1"/>
    <col min="4603" max="4604" width="11.7109375" style="11" customWidth="1"/>
    <col min="4605" max="4605" width="1.7109375" style="11" customWidth="1"/>
    <col min="4606" max="4606" width="13" style="11" customWidth="1"/>
    <col min="4607" max="4607" width="11.85546875" style="11" customWidth="1"/>
    <col min="4608" max="4608" width="11.42578125" style="11" customWidth="1"/>
    <col min="4609" max="4609" width="1.7109375" style="11" customWidth="1"/>
    <col min="4610" max="4610" width="14.28515625" style="11" bestFit="1" customWidth="1"/>
    <col min="4611" max="4611" width="15.85546875" style="11" bestFit="1" customWidth="1"/>
    <col min="4612" max="4612" width="11.140625" style="11" customWidth="1"/>
    <col min="4613" max="4613" width="1.7109375" style="11" customWidth="1"/>
    <col min="4614" max="4614" width="14.140625" style="11" bestFit="1" customWidth="1"/>
    <col min="4615" max="4615" width="14.28515625" style="11" bestFit="1" customWidth="1"/>
    <col min="4616" max="4616" width="11.140625" style="11" customWidth="1"/>
    <col min="4617" max="4856" width="9.140625" style="11"/>
    <col min="4857" max="4857" width="5.7109375" style="11" customWidth="1"/>
    <col min="4858" max="4858" width="26.7109375" style="11" customWidth="1"/>
    <col min="4859" max="4860" width="11.7109375" style="11" customWidth="1"/>
    <col min="4861" max="4861" width="1.7109375" style="11" customWidth="1"/>
    <col min="4862" max="4862" width="13" style="11" customWidth="1"/>
    <col min="4863" max="4863" width="11.85546875" style="11" customWidth="1"/>
    <col min="4864" max="4864" width="11.42578125" style="11" customWidth="1"/>
    <col min="4865" max="4865" width="1.7109375" style="11" customWidth="1"/>
    <col min="4866" max="4866" width="14.28515625" style="11" bestFit="1" customWidth="1"/>
    <col min="4867" max="4867" width="15.85546875" style="11" bestFit="1" customWidth="1"/>
    <col min="4868" max="4868" width="11.140625" style="11" customWidth="1"/>
    <col min="4869" max="4869" width="1.7109375" style="11" customWidth="1"/>
    <col min="4870" max="4870" width="14.140625" style="11" bestFit="1" customWidth="1"/>
    <col min="4871" max="4871" width="14.28515625" style="11" bestFit="1" customWidth="1"/>
    <col min="4872" max="4872" width="11.140625" style="11" customWidth="1"/>
    <col min="4873" max="5112" width="9.140625" style="11"/>
    <col min="5113" max="5113" width="5.7109375" style="11" customWidth="1"/>
    <col min="5114" max="5114" width="26.7109375" style="11" customWidth="1"/>
    <col min="5115" max="5116" width="11.7109375" style="11" customWidth="1"/>
    <col min="5117" max="5117" width="1.7109375" style="11" customWidth="1"/>
    <col min="5118" max="5118" width="13" style="11" customWidth="1"/>
    <col min="5119" max="5119" width="11.85546875" style="11" customWidth="1"/>
    <col min="5120" max="5120" width="11.42578125" style="11" customWidth="1"/>
    <col min="5121" max="5121" width="1.7109375" style="11" customWidth="1"/>
    <col min="5122" max="5122" width="14.28515625" style="11" bestFit="1" customWidth="1"/>
    <col min="5123" max="5123" width="15.85546875" style="11" bestFit="1" customWidth="1"/>
    <col min="5124" max="5124" width="11.140625" style="11" customWidth="1"/>
    <col min="5125" max="5125" width="1.7109375" style="11" customWidth="1"/>
    <col min="5126" max="5126" width="14.140625" style="11" bestFit="1" customWidth="1"/>
    <col min="5127" max="5127" width="14.28515625" style="11" bestFit="1" customWidth="1"/>
    <col min="5128" max="5128" width="11.140625" style="11" customWidth="1"/>
    <col min="5129" max="5368" width="9.140625" style="11"/>
    <col min="5369" max="5369" width="5.7109375" style="11" customWidth="1"/>
    <col min="5370" max="5370" width="26.7109375" style="11" customWidth="1"/>
    <col min="5371" max="5372" width="11.7109375" style="11" customWidth="1"/>
    <col min="5373" max="5373" width="1.7109375" style="11" customWidth="1"/>
    <col min="5374" max="5374" width="13" style="11" customWidth="1"/>
    <col min="5375" max="5375" width="11.85546875" style="11" customWidth="1"/>
    <col min="5376" max="5376" width="11.42578125" style="11" customWidth="1"/>
    <col min="5377" max="5377" width="1.7109375" style="11" customWidth="1"/>
    <col min="5378" max="5378" width="14.28515625" style="11" bestFit="1" customWidth="1"/>
    <col min="5379" max="5379" width="15.85546875" style="11" bestFit="1" customWidth="1"/>
    <col min="5380" max="5380" width="11.140625" style="11" customWidth="1"/>
    <col min="5381" max="5381" width="1.7109375" style="11" customWidth="1"/>
    <col min="5382" max="5382" width="14.140625" style="11" bestFit="1" customWidth="1"/>
    <col min="5383" max="5383" width="14.28515625" style="11" bestFit="1" customWidth="1"/>
    <col min="5384" max="5384" width="11.140625" style="11" customWidth="1"/>
    <col min="5385" max="5624" width="9.140625" style="11"/>
    <col min="5625" max="5625" width="5.7109375" style="11" customWidth="1"/>
    <col min="5626" max="5626" width="26.7109375" style="11" customWidth="1"/>
    <col min="5627" max="5628" width="11.7109375" style="11" customWidth="1"/>
    <col min="5629" max="5629" width="1.7109375" style="11" customWidth="1"/>
    <col min="5630" max="5630" width="13" style="11" customWidth="1"/>
    <col min="5631" max="5631" width="11.85546875" style="11" customWidth="1"/>
    <col min="5632" max="5632" width="11.42578125" style="11" customWidth="1"/>
    <col min="5633" max="5633" width="1.7109375" style="11" customWidth="1"/>
    <col min="5634" max="5634" width="14.28515625" style="11" bestFit="1" customWidth="1"/>
    <col min="5635" max="5635" width="15.85546875" style="11" bestFit="1" customWidth="1"/>
    <col min="5636" max="5636" width="11.140625" style="11" customWidth="1"/>
    <col min="5637" max="5637" width="1.7109375" style="11" customWidth="1"/>
    <col min="5638" max="5638" width="14.140625" style="11" bestFit="1" customWidth="1"/>
    <col min="5639" max="5639" width="14.28515625" style="11" bestFit="1" customWidth="1"/>
    <col min="5640" max="5640" width="11.140625" style="11" customWidth="1"/>
    <col min="5641" max="5880" width="9.140625" style="11"/>
    <col min="5881" max="5881" width="5.7109375" style="11" customWidth="1"/>
    <col min="5882" max="5882" width="26.7109375" style="11" customWidth="1"/>
    <col min="5883" max="5884" width="11.7109375" style="11" customWidth="1"/>
    <col min="5885" max="5885" width="1.7109375" style="11" customWidth="1"/>
    <col min="5886" max="5886" width="13" style="11" customWidth="1"/>
    <col min="5887" max="5887" width="11.85546875" style="11" customWidth="1"/>
    <col min="5888" max="5888" width="11.42578125" style="11" customWidth="1"/>
    <col min="5889" max="5889" width="1.7109375" style="11" customWidth="1"/>
    <col min="5890" max="5890" width="14.28515625" style="11" bestFit="1" customWidth="1"/>
    <col min="5891" max="5891" width="15.85546875" style="11" bestFit="1" customWidth="1"/>
    <col min="5892" max="5892" width="11.140625" style="11" customWidth="1"/>
    <col min="5893" max="5893" width="1.7109375" style="11" customWidth="1"/>
    <col min="5894" max="5894" width="14.140625" style="11" bestFit="1" customWidth="1"/>
    <col min="5895" max="5895" width="14.28515625" style="11" bestFit="1" customWidth="1"/>
    <col min="5896" max="5896" width="11.140625" style="11" customWidth="1"/>
    <col min="5897" max="6136" width="9.140625" style="11"/>
    <col min="6137" max="6137" width="5.7109375" style="11" customWidth="1"/>
    <col min="6138" max="6138" width="26.7109375" style="11" customWidth="1"/>
    <col min="6139" max="6140" width="11.7109375" style="11" customWidth="1"/>
    <col min="6141" max="6141" width="1.7109375" style="11" customWidth="1"/>
    <col min="6142" max="6142" width="13" style="11" customWidth="1"/>
    <col min="6143" max="6143" width="11.85546875" style="11" customWidth="1"/>
    <col min="6144" max="6144" width="11.42578125" style="11" customWidth="1"/>
    <col min="6145" max="6145" width="1.7109375" style="11" customWidth="1"/>
    <col min="6146" max="6146" width="14.28515625" style="11" bestFit="1" customWidth="1"/>
    <col min="6147" max="6147" width="15.85546875" style="11" bestFit="1" customWidth="1"/>
    <col min="6148" max="6148" width="11.140625" style="11" customWidth="1"/>
    <col min="6149" max="6149" width="1.7109375" style="11" customWidth="1"/>
    <col min="6150" max="6150" width="14.140625" style="11" bestFit="1" customWidth="1"/>
    <col min="6151" max="6151" width="14.28515625" style="11" bestFit="1" customWidth="1"/>
    <col min="6152" max="6152" width="11.140625" style="11" customWidth="1"/>
    <col min="6153" max="6392" width="9.140625" style="11"/>
    <col min="6393" max="6393" width="5.7109375" style="11" customWidth="1"/>
    <col min="6394" max="6394" width="26.7109375" style="11" customWidth="1"/>
    <col min="6395" max="6396" width="11.7109375" style="11" customWidth="1"/>
    <col min="6397" max="6397" width="1.7109375" style="11" customWidth="1"/>
    <col min="6398" max="6398" width="13" style="11" customWidth="1"/>
    <col min="6399" max="6399" width="11.85546875" style="11" customWidth="1"/>
    <col min="6400" max="6400" width="11.42578125" style="11" customWidth="1"/>
    <col min="6401" max="6401" width="1.7109375" style="11" customWidth="1"/>
    <col min="6402" max="6402" width="14.28515625" style="11" bestFit="1" customWidth="1"/>
    <col min="6403" max="6403" width="15.85546875" style="11" bestFit="1" customWidth="1"/>
    <col min="6404" max="6404" width="11.140625" style="11" customWidth="1"/>
    <col min="6405" max="6405" width="1.7109375" style="11" customWidth="1"/>
    <col min="6406" max="6406" width="14.140625" style="11" bestFit="1" customWidth="1"/>
    <col min="6407" max="6407" width="14.28515625" style="11" bestFit="1" customWidth="1"/>
    <col min="6408" max="6408" width="11.140625" style="11" customWidth="1"/>
    <col min="6409" max="6648" width="9.140625" style="11"/>
    <col min="6649" max="6649" width="5.7109375" style="11" customWidth="1"/>
    <col min="6650" max="6650" width="26.7109375" style="11" customWidth="1"/>
    <col min="6651" max="6652" width="11.7109375" style="11" customWidth="1"/>
    <col min="6653" max="6653" width="1.7109375" style="11" customWidth="1"/>
    <col min="6654" max="6654" width="13" style="11" customWidth="1"/>
    <col min="6655" max="6655" width="11.85546875" style="11" customWidth="1"/>
    <col min="6656" max="6656" width="11.42578125" style="11" customWidth="1"/>
    <col min="6657" max="6657" width="1.7109375" style="11" customWidth="1"/>
    <col min="6658" max="6658" width="14.28515625" style="11" bestFit="1" customWidth="1"/>
    <col min="6659" max="6659" width="15.85546875" style="11" bestFit="1" customWidth="1"/>
    <col min="6660" max="6660" width="11.140625" style="11" customWidth="1"/>
    <col min="6661" max="6661" width="1.7109375" style="11" customWidth="1"/>
    <col min="6662" max="6662" width="14.140625" style="11" bestFit="1" customWidth="1"/>
    <col min="6663" max="6663" width="14.28515625" style="11" bestFit="1" customWidth="1"/>
    <col min="6664" max="6664" width="11.140625" style="11" customWidth="1"/>
    <col min="6665" max="6904" width="9.140625" style="11"/>
    <col min="6905" max="6905" width="5.7109375" style="11" customWidth="1"/>
    <col min="6906" max="6906" width="26.7109375" style="11" customWidth="1"/>
    <col min="6907" max="6908" width="11.7109375" style="11" customWidth="1"/>
    <col min="6909" max="6909" width="1.7109375" style="11" customWidth="1"/>
    <col min="6910" max="6910" width="13" style="11" customWidth="1"/>
    <col min="6911" max="6911" width="11.85546875" style="11" customWidth="1"/>
    <col min="6912" max="6912" width="11.42578125" style="11" customWidth="1"/>
    <col min="6913" max="6913" width="1.7109375" style="11" customWidth="1"/>
    <col min="6914" max="6914" width="14.28515625" style="11" bestFit="1" customWidth="1"/>
    <col min="6915" max="6915" width="15.85546875" style="11" bestFit="1" customWidth="1"/>
    <col min="6916" max="6916" width="11.140625" style="11" customWidth="1"/>
    <col min="6917" max="6917" width="1.7109375" style="11" customWidth="1"/>
    <col min="6918" max="6918" width="14.140625" style="11" bestFit="1" customWidth="1"/>
    <col min="6919" max="6919" width="14.28515625" style="11" bestFit="1" customWidth="1"/>
    <col min="6920" max="6920" width="11.140625" style="11" customWidth="1"/>
    <col min="6921" max="7160" width="9.140625" style="11"/>
    <col min="7161" max="7161" width="5.7109375" style="11" customWidth="1"/>
    <col min="7162" max="7162" width="26.7109375" style="11" customWidth="1"/>
    <col min="7163" max="7164" width="11.7109375" style="11" customWidth="1"/>
    <col min="7165" max="7165" width="1.7109375" style="11" customWidth="1"/>
    <col min="7166" max="7166" width="13" style="11" customWidth="1"/>
    <col min="7167" max="7167" width="11.85546875" style="11" customWidth="1"/>
    <col min="7168" max="7168" width="11.42578125" style="11" customWidth="1"/>
    <col min="7169" max="7169" width="1.7109375" style="11" customWidth="1"/>
    <col min="7170" max="7170" width="14.28515625" style="11" bestFit="1" customWidth="1"/>
    <col min="7171" max="7171" width="15.85546875" style="11" bestFit="1" customWidth="1"/>
    <col min="7172" max="7172" width="11.140625" style="11" customWidth="1"/>
    <col min="7173" max="7173" width="1.7109375" style="11" customWidth="1"/>
    <col min="7174" max="7174" width="14.140625" style="11" bestFit="1" customWidth="1"/>
    <col min="7175" max="7175" width="14.28515625" style="11" bestFit="1" customWidth="1"/>
    <col min="7176" max="7176" width="11.140625" style="11" customWidth="1"/>
    <col min="7177" max="7416" width="9.140625" style="11"/>
    <col min="7417" max="7417" width="5.7109375" style="11" customWidth="1"/>
    <col min="7418" max="7418" width="26.7109375" style="11" customWidth="1"/>
    <col min="7419" max="7420" width="11.7109375" style="11" customWidth="1"/>
    <col min="7421" max="7421" width="1.7109375" style="11" customWidth="1"/>
    <col min="7422" max="7422" width="13" style="11" customWidth="1"/>
    <col min="7423" max="7423" width="11.85546875" style="11" customWidth="1"/>
    <col min="7424" max="7424" width="11.42578125" style="11" customWidth="1"/>
    <col min="7425" max="7425" width="1.7109375" style="11" customWidth="1"/>
    <col min="7426" max="7426" width="14.28515625" style="11" bestFit="1" customWidth="1"/>
    <col min="7427" max="7427" width="15.85546875" style="11" bestFit="1" customWidth="1"/>
    <col min="7428" max="7428" width="11.140625" style="11" customWidth="1"/>
    <col min="7429" max="7429" width="1.7109375" style="11" customWidth="1"/>
    <col min="7430" max="7430" width="14.140625" style="11" bestFit="1" customWidth="1"/>
    <col min="7431" max="7431" width="14.28515625" style="11" bestFit="1" customWidth="1"/>
    <col min="7432" max="7432" width="11.140625" style="11" customWidth="1"/>
    <col min="7433" max="7672" width="9.140625" style="11"/>
    <col min="7673" max="7673" width="5.7109375" style="11" customWidth="1"/>
    <col min="7674" max="7674" width="26.7109375" style="11" customWidth="1"/>
    <col min="7675" max="7676" width="11.7109375" style="11" customWidth="1"/>
    <col min="7677" max="7677" width="1.7109375" style="11" customWidth="1"/>
    <col min="7678" max="7678" width="13" style="11" customWidth="1"/>
    <col min="7679" max="7679" width="11.85546875" style="11" customWidth="1"/>
    <col min="7680" max="7680" width="11.42578125" style="11" customWidth="1"/>
    <col min="7681" max="7681" width="1.7109375" style="11" customWidth="1"/>
    <col min="7682" max="7682" width="14.28515625" style="11" bestFit="1" customWidth="1"/>
    <col min="7683" max="7683" width="15.85546875" style="11" bestFit="1" customWidth="1"/>
    <col min="7684" max="7684" width="11.140625" style="11" customWidth="1"/>
    <col min="7685" max="7685" width="1.7109375" style="11" customWidth="1"/>
    <col min="7686" max="7686" width="14.140625" style="11" bestFit="1" customWidth="1"/>
    <col min="7687" max="7687" width="14.28515625" style="11" bestFit="1" customWidth="1"/>
    <col min="7688" max="7688" width="11.140625" style="11" customWidth="1"/>
    <col min="7689" max="7928" width="9.140625" style="11"/>
    <col min="7929" max="7929" width="5.7109375" style="11" customWidth="1"/>
    <col min="7930" max="7930" width="26.7109375" style="11" customWidth="1"/>
    <col min="7931" max="7932" width="11.7109375" style="11" customWidth="1"/>
    <col min="7933" max="7933" width="1.7109375" style="11" customWidth="1"/>
    <col min="7934" max="7934" width="13" style="11" customWidth="1"/>
    <col min="7935" max="7935" width="11.85546875" style="11" customWidth="1"/>
    <col min="7936" max="7936" width="11.42578125" style="11" customWidth="1"/>
    <col min="7937" max="7937" width="1.7109375" style="11" customWidth="1"/>
    <col min="7938" max="7938" width="14.28515625" style="11" bestFit="1" customWidth="1"/>
    <col min="7939" max="7939" width="15.85546875" style="11" bestFit="1" customWidth="1"/>
    <col min="7940" max="7940" width="11.140625" style="11" customWidth="1"/>
    <col min="7941" max="7941" width="1.7109375" style="11" customWidth="1"/>
    <col min="7942" max="7942" width="14.140625" style="11" bestFit="1" customWidth="1"/>
    <col min="7943" max="7943" width="14.28515625" style="11" bestFit="1" customWidth="1"/>
    <col min="7944" max="7944" width="11.140625" style="11" customWidth="1"/>
    <col min="7945" max="8184" width="9.140625" style="11"/>
    <col min="8185" max="8185" width="5.7109375" style="11" customWidth="1"/>
    <col min="8186" max="8186" width="26.7109375" style="11" customWidth="1"/>
    <col min="8187" max="8188" width="11.7109375" style="11" customWidth="1"/>
    <col min="8189" max="8189" width="1.7109375" style="11" customWidth="1"/>
    <col min="8190" max="8190" width="13" style="11" customWidth="1"/>
    <col min="8191" max="8191" width="11.85546875" style="11" customWidth="1"/>
    <col min="8192" max="8192" width="11.42578125" style="11" customWidth="1"/>
    <col min="8193" max="8193" width="1.7109375" style="11" customWidth="1"/>
    <col min="8194" max="8194" width="14.28515625" style="11" bestFit="1" customWidth="1"/>
    <col min="8195" max="8195" width="15.85546875" style="11" bestFit="1" customWidth="1"/>
    <col min="8196" max="8196" width="11.140625" style="11" customWidth="1"/>
    <col min="8197" max="8197" width="1.7109375" style="11" customWidth="1"/>
    <col min="8198" max="8198" width="14.140625" style="11" bestFit="1" customWidth="1"/>
    <col min="8199" max="8199" width="14.28515625" style="11" bestFit="1" customWidth="1"/>
    <col min="8200" max="8200" width="11.140625" style="11" customWidth="1"/>
    <col min="8201" max="8440" width="9.140625" style="11"/>
    <col min="8441" max="8441" width="5.7109375" style="11" customWidth="1"/>
    <col min="8442" max="8442" width="26.7109375" style="11" customWidth="1"/>
    <col min="8443" max="8444" width="11.7109375" style="11" customWidth="1"/>
    <col min="8445" max="8445" width="1.7109375" style="11" customWidth="1"/>
    <col min="8446" max="8446" width="13" style="11" customWidth="1"/>
    <col min="8447" max="8447" width="11.85546875" style="11" customWidth="1"/>
    <col min="8448" max="8448" width="11.42578125" style="11" customWidth="1"/>
    <col min="8449" max="8449" width="1.7109375" style="11" customWidth="1"/>
    <col min="8450" max="8450" width="14.28515625" style="11" bestFit="1" customWidth="1"/>
    <col min="8451" max="8451" width="15.85546875" style="11" bestFit="1" customWidth="1"/>
    <col min="8452" max="8452" width="11.140625" style="11" customWidth="1"/>
    <col min="8453" max="8453" width="1.7109375" style="11" customWidth="1"/>
    <col min="8454" max="8454" width="14.140625" style="11" bestFit="1" customWidth="1"/>
    <col min="8455" max="8455" width="14.28515625" style="11" bestFit="1" customWidth="1"/>
    <col min="8456" max="8456" width="11.140625" style="11" customWidth="1"/>
    <col min="8457" max="8696" width="9.140625" style="11"/>
    <col min="8697" max="8697" width="5.7109375" style="11" customWidth="1"/>
    <col min="8698" max="8698" width="26.7109375" style="11" customWidth="1"/>
    <col min="8699" max="8700" width="11.7109375" style="11" customWidth="1"/>
    <col min="8701" max="8701" width="1.7109375" style="11" customWidth="1"/>
    <col min="8702" max="8702" width="13" style="11" customWidth="1"/>
    <col min="8703" max="8703" width="11.85546875" style="11" customWidth="1"/>
    <col min="8704" max="8704" width="11.42578125" style="11" customWidth="1"/>
    <col min="8705" max="8705" width="1.7109375" style="11" customWidth="1"/>
    <col min="8706" max="8706" width="14.28515625" style="11" bestFit="1" customWidth="1"/>
    <col min="8707" max="8707" width="15.85546875" style="11" bestFit="1" customWidth="1"/>
    <col min="8708" max="8708" width="11.140625" style="11" customWidth="1"/>
    <col min="8709" max="8709" width="1.7109375" style="11" customWidth="1"/>
    <col min="8710" max="8710" width="14.140625" style="11" bestFit="1" customWidth="1"/>
    <col min="8711" max="8711" width="14.28515625" style="11" bestFit="1" customWidth="1"/>
    <col min="8712" max="8712" width="11.140625" style="11" customWidth="1"/>
    <col min="8713" max="8952" width="9.140625" style="11"/>
    <col min="8953" max="8953" width="5.7109375" style="11" customWidth="1"/>
    <col min="8954" max="8954" width="26.7109375" style="11" customWidth="1"/>
    <col min="8955" max="8956" width="11.7109375" style="11" customWidth="1"/>
    <col min="8957" max="8957" width="1.7109375" style="11" customWidth="1"/>
    <col min="8958" max="8958" width="13" style="11" customWidth="1"/>
    <col min="8959" max="8959" width="11.85546875" style="11" customWidth="1"/>
    <col min="8960" max="8960" width="11.42578125" style="11" customWidth="1"/>
    <col min="8961" max="8961" width="1.7109375" style="11" customWidth="1"/>
    <col min="8962" max="8962" width="14.28515625" style="11" bestFit="1" customWidth="1"/>
    <col min="8963" max="8963" width="15.85546875" style="11" bestFit="1" customWidth="1"/>
    <col min="8964" max="8964" width="11.140625" style="11" customWidth="1"/>
    <col min="8965" max="8965" width="1.7109375" style="11" customWidth="1"/>
    <col min="8966" max="8966" width="14.140625" style="11" bestFit="1" customWidth="1"/>
    <col min="8967" max="8967" width="14.28515625" style="11" bestFit="1" customWidth="1"/>
    <col min="8968" max="8968" width="11.140625" style="11" customWidth="1"/>
    <col min="8969" max="9208" width="9.140625" style="11"/>
    <col min="9209" max="9209" width="5.7109375" style="11" customWidth="1"/>
    <col min="9210" max="9210" width="26.7109375" style="11" customWidth="1"/>
    <col min="9211" max="9212" width="11.7109375" style="11" customWidth="1"/>
    <col min="9213" max="9213" width="1.7109375" style="11" customWidth="1"/>
    <col min="9214" max="9214" width="13" style="11" customWidth="1"/>
    <col min="9215" max="9215" width="11.85546875" style="11" customWidth="1"/>
    <col min="9216" max="9216" width="11.42578125" style="11" customWidth="1"/>
    <col min="9217" max="9217" width="1.7109375" style="11" customWidth="1"/>
    <col min="9218" max="9218" width="14.28515625" style="11" bestFit="1" customWidth="1"/>
    <col min="9219" max="9219" width="15.85546875" style="11" bestFit="1" customWidth="1"/>
    <col min="9220" max="9220" width="11.140625" style="11" customWidth="1"/>
    <col min="9221" max="9221" width="1.7109375" style="11" customWidth="1"/>
    <col min="9222" max="9222" width="14.140625" style="11" bestFit="1" customWidth="1"/>
    <col min="9223" max="9223" width="14.28515625" style="11" bestFit="1" customWidth="1"/>
    <col min="9224" max="9224" width="11.140625" style="11" customWidth="1"/>
    <col min="9225" max="9464" width="9.140625" style="11"/>
    <col min="9465" max="9465" width="5.7109375" style="11" customWidth="1"/>
    <col min="9466" max="9466" width="26.7109375" style="11" customWidth="1"/>
    <col min="9467" max="9468" width="11.7109375" style="11" customWidth="1"/>
    <col min="9469" max="9469" width="1.7109375" style="11" customWidth="1"/>
    <col min="9470" max="9470" width="13" style="11" customWidth="1"/>
    <col min="9471" max="9471" width="11.85546875" style="11" customWidth="1"/>
    <col min="9472" max="9472" width="11.42578125" style="11" customWidth="1"/>
    <col min="9473" max="9473" width="1.7109375" style="11" customWidth="1"/>
    <col min="9474" max="9474" width="14.28515625" style="11" bestFit="1" customWidth="1"/>
    <col min="9475" max="9475" width="15.85546875" style="11" bestFit="1" customWidth="1"/>
    <col min="9476" max="9476" width="11.140625" style="11" customWidth="1"/>
    <col min="9477" max="9477" width="1.7109375" style="11" customWidth="1"/>
    <col min="9478" max="9478" width="14.140625" style="11" bestFit="1" customWidth="1"/>
    <col min="9479" max="9479" width="14.28515625" style="11" bestFit="1" customWidth="1"/>
    <col min="9480" max="9480" width="11.140625" style="11" customWidth="1"/>
    <col min="9481" max="9720" width="9.140625" style="11"/>
    <col min="9721" max="9721" width="5.7109375" style="11" customWidth="1"/>
    <col min="9722" max="9722" width="26.7109375" style="11" customWidth="1"/>
    <col min="9723" max="9724" width="11.7109375" style="11" customWidth="1"/>
    <col min="9725" max="9725" width="1.7109375" style="11" customWidth="1"/>
    <col min="9726" max="9726" width="13" style="11" customWidth="1"/>
    <col min="9727" max="9727" width="11.85546875" style="11" customWidth="1"/>
    <col min="9728" max="9728" width="11.42578125" style="11" customWidth="1"/>
    <col min="9729" max="9729" width="1.7109375" style="11" customWidth="1"/>
    <col min="9730" max="9730" width="14.28515625" style="11" bestFit="1" customWidth="1"/>
    <col min="9731" max="9731" width="15.85546875" style="11" bestFit="1" customWidth="1"/>
    <col min="9732" max="9732" width="11.140625" style="11" customWidth="1"/>
    <col min="9733" max="9733" width="1.7109375" style="11" customWidth="1"/>
    <col min="9734" max="9734" width="14.140625" style="11" bestFit="1" customWidth="1"/>
    <col min="9735" max="9735" width="14.28515625" style="11" bestFit="1" customWidth="1"/>
    <col min="9736" max="9736" width="11.140625" style="11" customWidth="1"/>
    <col min="9737" max="9976" width="9.140625" style="11"/>
    <col min="9977" max="9977" width="5.7109375" style="11" customWidth="1"/>
    <col min="9978" max="9978" width="26.7109375" style="11" customWidth="1"/>
    <col min="9979" max="9980" width="11.7109375" style="11" customWidth="1"/>
    <col min="9981" max="9981" width="1.7109375" style="11" customWidth="1"/>
    <col min="9982" max="9982" width="13" style="11" customWidth="1"/>
    <col min="9983" max="9983" width="11.85546875" style="11" customWidth="1"/>
    <col min="9984" max="9984" width="11.42578125" style="11" customWidth="1"/>
    <col min="9985" max="9985" width="1.7109375" style="11" customWidth="1"/>
    <col min="9986" max="9986" width="14.28515625" style="11" bestFit="1" customWidth="1"/>
    <col min="9987" max="9987" width="15.85546875" style="11" bestFit="1" customWidth="1"/>
    <col min="9988" max="9988" width="11.140625" style="11" customWidth="1"/>
    <col min="9989" max="9989" width="1.7109375" style="11" customWidth="1"/>
    <col min="9990" max="9990" width="14.140625" style="11" bestFit="1" customWidth="1"/>
    <col min="9991" max="9991" width="14.28515625" style="11" bestFit="1" customWidth="1"/>
    <col min="9992" max="9992" width="11.140625" style="11" customWidth="1"/>
    <col min="9993" max="10232" width="9.140625" style="11"/>
    <col min="10233" max="10233" width="5.7109375" style="11" customWidth="1"/>
    <col min="10234" max="10234" width="26.7109375" style="11" customWidth="1"/>
    <col min="10235" max="10236" width="11.7109375" style="11" customWidth="1"/>
    <col min="10237" max="10237" width="1.7109375" style="11" customWidth="1"/>
    <col min="10238" max="10238" width="13" style="11" customWidth="1"/>
    <col min="10239" max="10239" width="11.85546875" style="11" customWidth="1"/>
    <col min="10240" max="10240" width="11.42578125" style="11" customWidth="1"/>
    <col min="10241" max="10241" width="1.7109375" style="11" customWidth="1"/>
    <col min="10242" max="10242" width="14.28515625" style="11" bestFit="1" customWidth="1"/>
    <col min="10243" max="10243" width="15.85546875" style="11" bestFit="1" customWidth="1"/>
    <col min="10244" max="10244" width="11.140625" style="11" customWidth="1"/>
    <col min="10245" max="10245" width="1.7109375" style="11" customWidth="1"/>
    <col min="10246" max="10246" width="14.140625" style="11" bestFit="1" customWidth="1"/>
    <col min="10247" max="10247" width="14.28515625" style="11" bestFit="1" customWidth="1"/>
    <col min="10248" max="10248" width="11.140625" style="11" customWidth="1"/>
    <col min="10249" max="10488" width="9.140625" style="11"/>
    <col min="10489" max="10489" width="5.7109375" style="11" customWidth="1"/>
    <col min="10490" max="10490" width="26.7109375" style="11" customWidth="1"/>
    <col min="10491" max="10492" width="11.7109375" style="11" customWidth="1"/>
    <col min="10493" max="10493" width="1.7109375" style="11" customWidth="1"/>
    <col min="10494" max="10494" width="13" style="11" customWidth="1"/>
    <col min="10495" max="10495" width="11.85546875" style="11" customWidth="1"/>
    <col min="10496" max="10496" width="11.42578125" style="11" customWidth="1"/>
    <col min="10497" max="10497" width="1.7109375" style="11" customWidth="1"/>
    <col min="10498" max="10498" width="14.28515625" style="11" bestFit="1" customWidth="1"/>
    <col min="10499" max="10499" width="15.85546875" style="11" bestFit="1" customWidth="1"/>
    <col min="10500" max="10500" width="11.140625" style="11" customWidth="1"/>
    <col min="10501" max="10501" width="1.7109375" style="11" customWidth="1"/>
    <col min="10502" max="10502" width="14.140625" style="11" bestFit="1" customWidth="1"/>
    <col min="10503" max="10503" width="14.28515625" style="11" bestFit="1" customWidth="1"/>
    <col min="10504" max="10504" width="11.140625" style="11" customWidth="1"/>
    <col min="10505" max="10744" width="9.140625" style="11"/>
    <col min="10745" max="10745" width="5.7109375" style="11" customWidth="1"/>
    <col min="10746" max="10746" width="26.7109375" style="11" customWidth="1"/>
    <col min="10747" max="10748" width="11.7109375" style="11" customWidth="1"/>
    <col min="10749" max="10749" width="1.7109375" style="11" customWidth="1"/>
    <col min="10750" max="10750" width="13" style="11" customWidth="1"/>
    <col min="10751" max="10751" width="11.85546875" style="11" customWidth="1"/>
    <col min="10752" max="10752" width="11.42578125" style="11" customWidth="1"/>
    <col min="10753" max="10753" width="1.7109375" style="11" customWidth="1"/>
    <col min="10754" max="10754" width="14.28515625" style="11" bestFit="1" customWidth="1"/>
    <col min="10755" max="10755" width="15.85546875" style="11" bestFit="1" customWidth="1"/>
    <col min="10756" max="10756" width="11.140625" style="11" customWidth="1"/>
    <col min="10757" max="10757" width="1.7109375" style="11" customWidth="1"/>
    <col min="10758" max="10758" width="14.140625" style="11" bestFit="1" customWidth="1"/>
    <col min="10759" max="10759" width="14.28515625" style="11" bestFit="1" customWidth="1"/>
    <col min="10760" max="10760" width="11.140625" style="11" customWidth="1"/>
    <col min="10761" max="11000" width="9.140625" style="11"/>
    <col min="11001" max="11001" width="5.7109375" style="11" customWidth="1"/>
    <col min="11002" max="11002" width="26.7109375" style="11" customWidth="1"/>
    <col min="11003" max="11004" width="11.7109375" style="11" customWidth="1"/>
    <col min="11005" max="11005" width="1.7109375" style="11" customWidth="1"/>
    <col min="11006" max="11006" width="13" style="11" customWidth="1"/>
    <col min="11007" max="11007" width="11.85546875" style="11" customWidth="1"/>
    <col min="11008" max="11008" width="11.42578125" style="11" customWidth="1"/>
    <col min="11009" max="11009" width="1.7109375" style="11" customWidth="1"/>
    <col min="11010" max="11010" width="14.28515625" style="11" bestFit="1" customWidth="1"/>
    <col min="11011" max="11011" width="15.85546875" style="11" bestFit="1" customWidth="1"/>
    <col min="11012" max="11012" width="11.140625" style="11" customWidth="1"/>
    <col min="11013" max="11013" width="1.7109375" style="11" customWidth="1"/>
    <col min="11014" max="11014" width="14.140625" style="11" bestFit="1" customWidth="1"/>
    <col min="11015" max="11015" width="14.28515625" style="11" bestFit="1" customWidth="1"/>
    <col min="11016" max="11016" width="11.140625" style="11" customWidth="1"/>
    <col min="11017" max="11256" width="9.140625" style="11"/>
    <col min="11257" max="11257" width="5.7109375" style="11" customWidth="1"/>
    <col min="11258" max="11258" width="26.7109375" style="11" customWidth="1"/>
    <col min="11259" max="11260" width="11.7109375" style="11" customWidth="1"/>
    <col min="11261" max="11261" width="1.7109375" style="11" customWidth="1"/>
    <col min="11262" max="11262" width="13" style="11" customWidth="1"/>
    <col min="11263" max="11263" width="11.85546875" style="11" customWidth="1"/>
    <col min="11264" max="11264" width="11.42578125" style="11" customWidth="1"/>
    <col min="11265" max="11265" width="1.7109375" style="11" customWidth="1"/>
    <col min="11266" max="11266" width="14.28515625" style="11" bestFit="1" customWidth="1"/>
    <col min="11267" max="11267" width="15.85546875" style="11" bestFit="1" customWidth="1"/>
    <col min="11268" max="11268" width="11.140625" style="11" customWidth="1"/>
    <col min="11269" max="11269" width="1.7109375" style="11" customWidth="1"/>
    <col min="11270" max="11270" width="14.140625" style="11" bestFit="1" customWidth="1"/>
    <col min="11271" max="11271" width="14.28515625" style="11" bestFit="1" customWidth="1"/>
    <col min="11272" max="11272" width="11.140625" style="11" customWidth="1"/>
    <col min="11273" max="11512" width="9.140625" style="11"/>
    <col min="11513" max="11513" width="5.7109375" style="11" customWidth="1"/>
    <col min="11514" max="11514" width="26.7109375" style="11" customWidth="1"/>
    <col min="11515" max="11516" width="11.7109375" style="11" customWidth="1"/>
    <col min="11517" max="11517" width="1.7109375" style="11" customWidth="1"/>
    <col min="11518" max="11518" width="13" style="11" customWidth="1"/>
    <col min="11519" max="11519" width="11.85546875" style="11" customWidth="1"/>
    <col min="11520" max="11520" width="11.42578125" style="11" customWidth="1"/>
    <col min="11521" max="11521" width="1.7109375" style="11" customWidth="1"/>
    <col min="11522" max="11522" width="14.28515625" style="11" bestFit="1" customWidth="1"/>
    <col min="11523" max="11523" width="15.85546875" style="11" bestFit="1" customWidth="1"/>
    <col min="11524" max="11524" width="11.140625" style="11" customWidth="1"/>
    <col min="11525" max="11525" width="1.7109375" style="11" customWidth="1"/>
    <col min="11526" max="11526" width="14.140625" style="11" bestFit="1" customWidth="1"/>
    <col min="11527" max="11527" width="14.28515625" style="11" bestFit="1" customWidth="1"/>
    <col min="11528" max="11528" width="11.140625" style="11" customWidth="1"/>
    <col min="11529" max="11768" width="9.140625" style="11"/>
    <col min="11769" max="11769" width="5.7109375" style="11" customWidth="1"/>
    <col min="11770" max="11770" width="26.7109375" style="11" customWidth="1"/>
    <col min="11771" max="11772" width="11.7109375" style="11" customWidth="1"/>
    <col min="11773" max="11773" width="1.7109375" style="11" customWidth="1"/>
    <col min="11774" max="11774" width="13" style="11" customWidth="1"/>
    <col min="11775" max="11775" width="11.85546875" style="11" customWidth="1"/>
    <col min="11776" max="11776" width="11.42578125" style="11" customWidth="1"/>
    <col min="11777" max="11777" width="1.7109375" style="11" customWidth="1"/>
    <col min="11778" max="11778" width="14.28515625" style="11" bestFit="1" customWidth="1"/>
    <col min="11779" max="11779" width="15.85546875" style="11" bestFit="1" customWidth="1"/>
    <col min="11780" max="11780" width="11.140625" style="11" customWidth="1"/>
    <col min="11781" max="11781" width="1.7109375" style="11" customWidth="1"/>
    <col min="11782" max="11782" width="14.140625" style="11" bestFit="1" customWidth="1"/>
    <col min="11783" max="11783" width="14.28515625" style="11" bestFit="1" customWidth="1"/>
    <col min="11784" max="11784" width="11.140625" style="11" customWidth="1"/>
    <col min="11785" max="12024" width="9.140625" style="11"/>
    <col min="12025" max="12025" width="5.7109375" style="11" customWidth="1"/>
    <col min="12026" max="12026" width="26.7109375" style="11" customWidth="1"/>
    <col min="12027" max="12028" width="11.7109375" style="11" customWidth="1"/>
    <col min="12029" max="12029" width="1.7109375" style="11" customWidth="1"/>
    <col min="12030" max="12030" width="13" style="11" customWidth="1"/>
    <col min="12031" max="12031" width="11.85546875" style="11" customWidth="1"/>
    <col min="12032" max="12032" width="11.42578125" style="11" customWidth="1"/>
    <col min="12033" max="12033" width="1.7109375" style="11" customWidth="1"/>
    <col min="12034" max="12034" width="14.28515625" style="11" bestFit="1" customWidth="1"/>
    <col min="12035" max="12035" width="15.85546875" style="11" bestFit="1" customWidth="1"/>
    <col min="12036" max="12036" width="11.140625" style="11" customWidth="1"/>
    <col min="12037" max="12037" width="1.7109375" style="11" customWidth="1"/>
    <col min="12038" max="12038" width="14.140625" style="11" bestFit="1" customWidth="1"/>
    <col min="12039" max="12039" width="14.28515625" style="11" bestFit="1" customWidth="1"/>
    <col min="12040" max="12040" width="11.140625" style="11" customWidth="1"/>
    <col min="12041" max="12280" width="9.140625" style="11"/>
    <col min="12281" max="12281" width="5.7109375" style="11" customWidth="1"/>
    <col min="12282" max="12282" width="26.7109375" style="11" customWidth="1"/>
    <col min="12283" max="12284" width="11.7109375" style="11" customWidth="1"/>
    <col min="12285" max="12285" width="1.7109375" style="11" customWidth="1"/>
    <col min="12286" max="12286" width="13" style="11" customWidth="1"/>
    <col min="12287" max="12287" width="11.85546875" style="11" customWidth="1"/>
    <col min="12288" max="12288" width="11.42578125" style="11" customWidth="1"/>
    <col min="12289" max="12289" width="1.7109375" style="11" customWidth="1"/>
    <col min="12290" max="12290" width="14.28515625" style="11" bestFit="1" customWidth="1"/>
    <col min="12291" max="12291" width="15.85546875" style="11" bestFit="1" customWidth="1"/>
    <col min="12292" max="12292" width="11.140625" style="11" customWidth="1"/>
    <col min="12293" max="12293" width="1.7109375" style="11" customWidth="1"/>
    <col min="12294" max="12294" width="14.140625" style="11" bestFit="1" customWidth="1"/>
    <col min="12295" max="12295" width="14.28515625" style="11" bestFit="1" customWidth="1"/>
    <col min="12296" max="12296" width="11.140625" style="11" customWidth="1"/>
    <col min="12297" max="12536" width="9.140625" style="11"/>
    <col min="12537" max="12537" width="5.7109375" style="11" customWidth="1"/>
    <col min="12538" max="12538" width="26.7109375" style="11" customWidth="1"/>
    <col min="12539" max="12540" width="11.7109375" style="11" customWidth="1"/>
    <col min="12541" max="12541" width="1.7109375" style="11" customWidth="1"/>
    <col min="12542" max="12542" width="13" style="11" customWidth="1"/>
    <col min="12543" max="12543" width="11.85546875" style="11" customWidth="1"/>
    <col min="12544" max="12544" width="11.42578125" style="11" customWidth="1"/>
    <col min="12545" max="12545" width="1.7109375" style="11" customWidth="1"/>
    <col min="12546" max="12546" width="14.28515625" style="11" bestFit="1" customWidth="1"/>
    <col min="12547" max="12547" width="15.85546875" style="11" bestFit="1" customWidth="1"/>
    <col min="12548" max="12548" width="11.140625" style="11" customWidth="1"/>
    <col min="12549" max="12549" width="1.7109375" style="11" customWidth="1"/>
    <col min="12550" max="12550" width="14.140625" style="11" bestFit="1" customWidth="1"/>
    <col min="12551" max="12551" width="14.28515625" style="11" bestFit="1" customWidth="1"/>
    <col min="12552" max="12552" width="11.140625" style="11" customWidth="1"/>
    <col min="12553" max="12792" width="9.140625" style="11"/>
    <col min="12793" max="12793" width="5.7109375" style="11" customWidth="1"/>
    <col min="12794" max="12794" width="26.7109375" style="11" customWidth="1"/>
    <col min="12795" max="12796" width="11.7109375" style="11" customWidth="1"/>
    <col min="12797" max="12797" width="1.7109375" style="11" customWidth="1"/>
    <col min="12798" max="12798" width="13" style="11" customWidth="1"/>
    <col min="12799" max="12799" width="11.85546875" style="11" customWidth="1"/>
    <col min="12800" max="12800" width="11.42578125" style="11" customWidth="1"/>
    <col min="12801" max="12801" width="1.7109375" style="11" customWidth="1"/>
    <col min="12802" max="12802" width="14.28515625" style="11" bestFit="1" customWidth="1"/>
    <col min="12803" max="12803" width="15.85546875" style="11" bestFit="1" customWidth="1"/>
    <col min="12804" max="12804" width="11.140625" style="11" customWidth="1"/>
    <col min="12805" max="12805" width="1.7109375" style="11" customWidth="1"/>
    <col min="12806" max="12806" width="14.140625" style="11" bestFit="1" customWidth="1"/>
    <col min="12807" max="12807" width="14.28515625" style="11" bestFit="1" customWidth="1"/>
    <col min="12808" max="12808" width="11.140625" style="11" customWidth="1"/>
    <col min="12809" max="13048" width="9.140625" style="11"/>
    <col min="13049" max="13049" width="5.7109375" style="11" customWidth="1"/>
    <col min="13050" max="13050" width="26.7109375" style="11" customWidth="1"/>
    <col min="13051" max="13052" width="11.7109375" style="11" customWidth="1"/>
    <col min="13053" max="13053" width="1.7109375" style="11" customWidth="1"/>
    <col min="13054" max="13054" width="13" style="11" customWidth="1"/>
    <col min="13055" max="13055" width="11.85546875" style="11" customWidth="1"/>
    <col min="13056" max="13056" width="11.42578125" style="11" customWidth="1"/>
    <col min="13057" max="13057" width="1.7109375" style="11" customWidth="1"/>
    <col min="13058" max="13058" width="14.28515625" style="11" bestFit="1" customWidth="1"/>
    <col min="13059" max="13059" width="15.85546875" style="11" bestFit="1" customWidth="1"/>
    <col min="13060" max="13060" width="11.140625" style="11" customWidth="1"/>
    <col min="13061" max="13061" width="1.7109375" style="11" customWidth="1"/>
    <col min="13062" max="13062" width="14.140625" style="11" bestFit="1" customWidth="1"/>
    <col min="13063" max="13063" width="14.28515625" style="11" bestFit="1" customWidth="1"/>
    <col min="13064" max="13064" width="11.140625" style="11" customWidth="1"/>
    <col min="13065" max="13304" width="9.140625" style="11"/>
    <col min="13305" max="13305" width="5.7109375" style="11" customWidth="1"/>
    <col min="13306" max="13306" width="26.7109375" style="11" customWidth="1"/>
    <col min="13307" max="13308" width="11.7109375" style="11" customWidth="1"/>
    <col min="13309" max="13309" width="1.7109375" style="11" customWidth="1"/>
    <col min="13310" max="13310" width="13" style="11" customWidth="1"/>
    <col min="13311" max="13311" width="11.85546875" style="11" customWidth="1"/>
    <col min="13312" max="13312" width="11.42578125" style="11" customWidth="1"/>
    <col min="13313" max="13313" width="1.7109375" style="11" customWidth="1"/>
    <col min="13314" max="13314" width="14.28515625" style="11" bestFit="1" customWidth="1"/>
    <col min="13315" max="13315" width="15.85546875" style="11" bestFit="1" customWidth="1"/>
    <col min="13316" max="13316" width="11.140625" style="11" customWidth="1"/>
    <col min="13317" max="13317" width="1.7109375" style="11" customWidth="1"/>
    <col min="13318" max="13318" width="14.140625" style="11" bestFit="1" customWidth="1"/>
    <col min="13319" max="13319" width="14.28515625" style="11" bestFit="1" customWidth="1"/>
    <col min="13320" max="13320" width="11.140625" style="11" customWidth="1"/>
    <col min="13321" max="13560" width="9.140625" style="11"/>
    <col min="13561" max="13561" width="5.7109375" style="11" customWidth="1"/>
    <col min="13562" max="13562" width="26.7109375" style="11" customWidth="1"/>
    <col min="13563" max="13564" width="11.7109375" style="11" customWidth="1"/>
    <col min="13565" max="13565" width="1.7109375" style="11" customWidth="1"/>
    <col min="13566" max="13566" width="13" style="11" customWidth="1"/>
    <col min="13567" max="13567" width="11.85546875" style="11" customWidth="1"/>
    <col min="13568" max="13568" width="11.42578125" style="11" customWidth="1"/>
    <col min="13569" max="13569" width="1.7109375" style="11" customWidth="1"/>
    <col min="13570" max="13570" width="14.28515625" style="11" bestFit="1" customWidth="1"/>
    <col min="13571" max="13571" width="15.85546875" style="11" bestFit="1" customWidth="1"/>
    <col min="13572" max="13572" width="11.140625" style="11" customWidth="1"/>
    <col min="13573" max="13573" width="1.7109375" style="11" customWidth="1"/>
    <col min="13574" max="13574" width="14.140625" style="11" bestFit="1" customWidth="1"/>
    <col min="13575" max="13575" width="14.28515625" style="11" bestFit="1" customWidth="1"/>
    <col min="13576" max="13576" width="11.140625" style="11" customWidth="1"/>
    <col min="13577" max="13816" width="9.140625" style="11"/>
    <col min="13817" max="13817" width="5.7109375" style="11" customWidth="1"/>
    <col min="13818" max="13818" width="26.7109375" style="11" customWidth="1"/>
    <col min="13819" max="13820" width="11.7109375" style="11" customWidth="1"/>
    <col min="13821" max="13821" width="1.7109375" style="11" customWidth="1"/>
    <col min="13822" max="13822" width="13" style="11" customWidth="1"/>
    <col min="13823" max="13823" width="11.85546875" style="11" customWidth="1"/>
    <col min="13824" max="13824" width="11.42578125" style="11" customWidth="1"/>
    <col min="13825" max="13825" width="1.7109375" style="11" customWidth="1"/>
    <col min="13826" max="13826" width="14.28515625" style="11" bestFit="1" customWidth="1"/>
    <col min="13827" max="13827" width="15.85546875" style="11" bestFit="1" customWidth="1"/>
    <col min="13828" max="13828" width="11.140625" style="11" customWidth="1"/>
    <col min="13829" max="13829" width="1.7109375" style="11" customWidth="1"/>
    <col min="13830" max="13830" width="14.140625" style="11" bestFit="1" customWidth="1"/>
    <col min="13831" max="13831" width="14.28515625" style="11" bestFit="1" customWidth="1"/>
    <col min="13832" max="13832" width="11.140625" style="11" customWidth="1"/>
    <col min="13833" max="14072" width="9.140625" style="11"/>
    <col min="14073" max="14073" width="5.7109375" style="11" customWidth="1"/>
    <col min="14074" max="14074" width="26.7109375" style="11" customWidth="1"/>
    <col min="14075" max="14076" width="11.7109375" style="11" customWidth="1"/>
    <col min="14077" max="14077" width="1.7109375" style="11" customWidth="1"/>
    <col min="14078" max="14078" width="13" style="11" customWidth="1"/>
    <col min="14079" max="14079" width="11.85546875" style="11" customWidth="1"/>
    <col min="14080" max="14080" width="11.42578125" style="11" customWidth="1"/>
    <col min="14081" max="14081" width="1.7109375" style="11" customWidth="1"/>
    <col min="14082" max="14082" width="14.28515625" style="11" bestFit="1" customWidth="1"/>
    <col min="14083" max="14083" width="15.85546875" style="11" bestFit="1" customWidth="1"/>
    <col min="14084" max="14084" width="11.140625" style="11" customWidth="1"/>
    <col min="14085" max="14085" width="1.7109375" style="11" customWidth="1"/>
    <col min="14086" max="14086" width="14.140625" style="11" bestFit="1" customWidth="1"/>
    <col min="14087" max="14087" width="14.28515625" style="11" bestFit="1" customWidth="1"/>
    <col min="14088" max="14088" width="11.140625" style="11" customWidth="1"/>
    <col min="14089" max="14328" width="9.140625" style="11"/>
    <col min="14329" max="14329" width="5.7109375" style="11" customWidth="1"/>
    <col min="14330" max="14330" width="26.7109375" style="11" customWidth="1"/>
    <col min="14331" max="14332" width="11.7109375" style="11" customWidth="1"/>
    <col min="14333" max="14333" width="1.7109375" style="11" customWidth="1"/>
    <col min="14334" max="14334" width="13" style="11" customWidth="1"/>
    <col min="14335" max="14335" width="11.85546875" style="11" customWidth="1"/>
    <col min="14336" max="14336" width="11.42578125" style="11" customWidth="1"/>
    <col min="14337" max="14337" width="1.7109375" style="11" customWidth="1"/>
    <col min="14338" max="14338" width="14.28515625" style="11" bestFit="1" customWidth="1"/>
    <col min="14339" max="14339" width="15.85546875" style="11" bestFit="1" customWidth="1"/>
    <col min="14340" max="14340" width="11.140625" style="11" customWidth="1"/>
    <col min="14341" max="14341" width="1.7109375" style="11" customWidth="1"/>
    <col min="14342" max="14342" width="14.140625" style="11" bestFit="1" customWidth="1"/>
    <col min="14343" max="14343" width="14.28515625" style="11" bestFit="1" customWidth="1"/>
    <col min="14344" max="14344" width="11.140625" style="11" customWidth="1"/>
    <col min="14345" max="14584" width="9.140625" style="11"/>
    <col min="14585" max="14585" width="5.7109375" style="11" customWidth="1"/>
    <col min="14586" max="14586" width="26.7109375" style="11" customWidth="1"/>
    <col min="14587" max="14588" width="11.7109375" style="11" customWidth="1"/>
    <col min="14589" max="14589" width="1.7109375" style="11" customWidth="1"/>
    <col min="14590" max="14590" width="13" style="11" customWidth="1"/>
    <col min="14591" max="14591" width="11.85546875" style="11" customWidth="1"/>
    <col min="14592" max="14592" width="11.42578125" style="11" customWidth="1"/>
    <col min="14593" max="14593" width="1.7109375" style="11" customWidth="1"/>
    <col min="14594" max="14594" width="14.28515625" style="11" bestFit="1" customWidth="1"/>
    <col min="14595" max="14595" width="15.85546875" style="11" bestFit="1" customWidth="1"/>
    <col min="14596" max="14596" width="11.140625" style="11" customWidth="1"/>
    <col min="14597" max="14597" width="1.7109375" style="11" customWidth="1"/>
    <col min="14598" max="14598" width="14.140625" style="11" bestFit="1" customWidth="1"/>
    <col min="14599" max="14599" width="14.28515625" style="11" bestFit="1" customWidth="1"/>
    <col min="14600" max="14600" width="11.140625" style="11" customWidth="1"/>
    <col min="14601" max="14840" width="9.140625" style="11"/>
    <col min="14841" max="14841" width="5.7109375" style="11" customWidth="1"/>
    <col min="14842" max="14842" width="26.7109375" style="11" customWidth="1"/>
    <col min="14843" max="14844" width="11.7109375" style="11" customWidth="1"/>
    <col min="14845" max="14845" width="1.7109375" style="11" customWidth="1"/>
    <col min="14846" max="14846" width="13" style="11" customWidth="1"/>
    <col min="14847" max="14847" width="11.85546875" style="11" customWidth="1"/>
    <col min="14848" max="14848" width="11.42578125" style="11" customWidth="1"/>
    <col min="14849" max="14849" width="1.7109375" style="11" customWidth="1"/>
    <col min="14850" max="14850" width="14.28515625" style="11" bestFit="1" customWidth="1"/>
    <col min="14851" max="14851" width="15.85546875" style="11" bestFit="1" customWidth="1"/>
    <col min="14852" max="14852" width="11.140625" style="11" customWidth="1"/>
    <col min="14853" max="14853" width="1.7109375" style="11" customWidth="1"/>
    <col min="14854" max="14854" width="14.140625" style="11" bestFit="1" customWidth="1"/>
    <col min="14855" max="14855" width="14.28515625" style="11" bestFit="1" customWidth="1"/>
    <col min="14856" max="14856" width="11.140625" style="11" customWidth="1"/>
    <col min="14857" max="15096" width="9.140625" style="11"/>
    <col min="15097" max="15097" width="5.7109375" style="11" customWidth="1"/>
    <col min="15098" max="15098" width="26.7109375" style="11" customWidth="1"/>
    <col min="15099" max="15100" width="11.7109375" style="11" customWidth="1"/>
    <col min="15101" max="15101" width="1.7109375" style="11" customWidth="1"/>
    <col min="15102" max="15102" width="13" style="11" customWidth="1"/>
    <col min="15103" max="15103" width="11.85546875" style="11" customWidth="1"/>
    <col min="15104" max="15104" width="11.42578125" style="11" customWidth="1"/>
    <col min="15105" max="15105" width="1.7109375" style="11" customWidth="1"/>
    <col min="15106" max="15106" width="14.28515625" style="11" bestFit="1" customWidth="1"/>
    <col min="15107" max="15107" width="15.85546875" style="11" bestFit="1" customWidth="1"/>
    <col min="15108" max="15108" width="11.140625" style="11" customWidth="1"/>
    <col min="15109" max="15109" width="1.7109375" style="11" customWidth="1"/>
    <col min="15110" max="15110" width="14.140625" style="11" bestFit="1" customWidth="1"/>
    <col min="15111" max="15111" width="14.28515625" style="11" bestFit="1" customWidth="1"/>
    <col min="15112" max="15112" width="11.140625" style="11" customWidth="1"/>
    <col min="15113" max="15352" width="9.140625" style="11"/>
    <col min="15353" max="15353" width="5.7109375" style="11" customWidth="1"/>
    <col min="15354" max="15354" width="26.7109375" style="11" customWidth="1"/>
    <col min="15355" max="15356" width="11.7109375" style="11" customWidth="1"/>
    <col min="15357" max="15357" width="1.7109375" style="11" customWidth="1"/>
    <col min="15358" max="15358" width="13" style="11" customWidth="1"/>
    <col min="15359" max="15359" width="11.85546875" style="11" customWidth="1"/>
    <col min="15360" max="15360" width="11.42578125" style="11" customWidth="1"/>
    <col min="15361" max="15361" width="1.7109375" style="11" customWidth="1"/>
    <col min="15362" max="15362" width="14.28515625" style="11" bestFit="1" customWidth="1"/>
    <col min="15363" max="15363" width="15.85546875" style="11" bestFit="1" customWidth="1"/>
    <col min="15364" max="15364" width="11.140625" style="11" customWidth="1"/>
    <col min="15365" max="15365" width="1.7109375" style="11" customWidth="1"/>
    <col min="15366" max="15366" width="14.140625" style="11" bestFit="1" customWidth="1"/>
    <col min="15367" max="15367" width="14.28515625" style="11" bestFit="1" customWidth="1"/>
    <col min="15368" max="15368" width="11.140625" style="11" customWidth="1"/>
    <col min="15369" max="15608" width="9.140625" style="11"/>
    <col min="15609" max="15609" width="5.7109375" style="11" customWidth="1"/>
    <col min="15610" max="15610" width="26.7109375" style="11" customWidth="1"/>
    <col min="15611" max="15612" width="11.7109375" style="11" customWidth="1"/>
    <col min="15613" max="15613" width="1.7109375" style="11" customWidth="1"/>
    <col min="15614" max="15614" width="13" style="11" customWidth="1"/>
    <col min="15615" max="15615" width="11.85546875" style="11" customWidth="1"/>
    <col min="15616" max="15616" width="11.42578125" style="11" customWidth="1"/>
    <col min="15617" max="15617" width="1.7109375" style="11" customWidth="1"/>
    <col min="15618" max="15618" width="14.28515625" style="11" bestFit="1" customWidth="1"/>
    <col min="15619" max="15619" width="15.85546875" style="11" bestFit="1" customWidth="1"/>
    <col min="15620" max="15620" width="11.140625" style="11" customWidth="1"/>
    <col min="15621" max="15621" width="1.7109375" style="11" customWidth="1"/>
    <col min="15622" max="15622" width="14.140625" style="11" bestFit="1" customWidth="1"/>
    <col min="15623" max="15623" width="14.28515625" style="11" bestFit="1" customWidth="1"/>
    <col min="15624" max="15624" width="11.140625" style="11" customWidth="1"/>
    <col min="15625" max="15864" width="9.140625" style="11"/>
    <col min="15865" max="15865" width="5.7109375" style="11" customWidth="1"/>
    <col min="15866" max="15866" width="26.7109375" style="11" customWidth="1"/>
    <col min="15867" max="15868" width="11.7109375" style="11" customWidth="1"/>
    <col min="15869" max="15869" width="1.7109375" style="11" customWidth="1"/>
    <col min="15870" max="15870" width="13" style="11" customWidth="1"/>
    <col min="15871" max="15871" width="11.85546875" style="11" customWidth="1"/>
    <col min="15872" max="15872" width="11.42578125" style="11" customWidth="1"/>
    <col min="15873" max="15873" width="1.7109375" style="11" customWidth="1"/>
    <col min="15874" max="15874" width="14.28515625" style="11" bestFit="1" customWidth="1"/>
    <col min="15875" max="15875" width="15.85546875" style="11" bestFit="1" customWidth="1"/>
    <col min="15876" max="15876" width="11.140625" style="11" customWidth="1"/>
    <col min="15877" max="15877" width="1.7109375" style="11" customWidth="1"/>
    <col min="15878" max="15878" width="14.140625" style="11" bestFit="1" customWidth="1"/>
    <col min="15879" max="15879" width="14.28515625" style="11" bestFit="1" customWidth="1"/>
    <col min="15880" max="15880" width="11.140625" style="11" customWidth="1"/>
    <col min="15881" max="16120" width="9.140625" style="11"/>
    <col min="16121" max="16121" width="5.7109375" style="11" customWidth="1"/>
    <col min="16122" max="16122" width="26.7109375" style="11" customWidth="1"/>
    <col min="16123" max="16124" width="11.7109375" style="11" customWidth="1"/>
    <col min="16125" max="16125" width="1.7109375" style="11" customWidth="1"/>
    <col min="16126" max="16126" width="13" style="11" customWidth="1"/>
    <col min="16127" max="16127" width="11.85546875" style="11" customWidth="1"/>
    <col min="16128" max="16128" width="11.42578125" style="11" customWidth="1"/>
    <col min="16129" max="16129" width="1.7109375" style="11" customWidth="1"/>
    <col min="16130" max="16130" width="14.28515625" style="11" bestFit="1" customWidth="1"/>
    <col min="16131" max="16131" width="15.85546875" style="11" bestFit="1" customWidth="1"/>
    <col min="16132" max="16132" width="11.140625" style="11" customWidth="1"/>
    <col min="16133" max="16133" width="1.7109375" style="11" customWidth="1"/>
    <col min="16134" max="16134" width="14.140625" style="11" bestFit="1" customWidth="1"/>
    <col min="16135" max="16135" width="14.28515625" style="11" bestFit="1" customWidth="1"/>
    <col min="16136" max="16136" width="11.140625" style="11" customWidth="1"/>
    <col min="16137" max="16384" width="9.140625" style="11"/>
  </cols>
  <sheetData>
    <row r="1" spans="1:10" ht="15" x14ac:dyDescent="0.2">
      <c r="B1" s="10"/>
      <c r="C1" s="192" t="s">
        <v>33</v>
      </c>
      <c r="D1" s="192"/>
      <c r="E1" s="192"/>
      <c r="F1" s="192"/>
      <c r="G1" s="192"/>
      <c r="H1" s="192"/>
      <c r="I1" s="192"/>
      <c r="J1" s="192"/>
    </row>
    <row r="2" spans="1:10" x14ac:dyDescent="0.2">
      <c r="B2" s="12"/>
      <c r="C2" s="192" t="s">
        <v>182</v>
      </c>
      <c r="D2" s="192"/>
      <c r="E2" s="192"/>
      <c r="F2" s="192"/>
      <c r="G2" s="192"/>
      <c r="H2" s="192"/>
      <c r="I2" s="192"/>
      <c r="J2" s="192"/>
    </row>
    <row r="3" spans="1:10" x14ac:dyDescent="0.2">
      <c r="B3" s="13"/>
    </row>
    <row r="4" spans="1:10" x14ac:dyDescent="0.2">
      <c r="E4" s="49" t="s">
        <v>221</v>
      </c>
      <c r="F4" s="49" t="s">
        <v>222</v>
      </c>
      <c r="G4" s="49" t="s">
        <v>223</v>
      </c>
      <c r="H4" s="49" t="s">
        <v>224</v>
      </c>
      <c r="I4" s="62" t="s">
        <v>225</v>
      </c>
      <c r="J4" s="62" t="s">
        <v>226</v>
      </c>
    </row>
    <row r="6" spans="1:10" x14ac:dyDescent="0.2">
      <c r="A6" s="11">
        <v>1</v>
      </c>
      <c r="B6" s="62" t="s">
        <v>181</v>
      </c>
      <c r="C6" s="11" t="s">
        <v>428</v>
      </c>
      <c r="E6" s="50" t="s">
        <v>184</v>
      </c>
      <c r="F6" s="50" t="s">
        <v>32</v>
      </c>
      <c r="G6" s="50" t="s">
        <v>40</v>
      </c>
    </row>
    <row r="7" spans="1:10" x14ac:dyDescent="0.2">
      <c r="A7" s="11">
        <f>+A6+1</f>
        <v>2</v>
      </c>
      <c r="B7" s="36" t="s">
        <v>397</v>
      </c>
      <c r="C7" s="23" t="s">
        <v>273</v>
      </c>
      <c r="E7" s="36" t="s">
        <v>187</v>
      </c>
      <c r="F7" s="36" t="s">
        <v>187</v>
      </c>
      <c r="G7" s="36" t="s">
        <v>202</v>
      </c>
    </row>
    <row r="8" spans="1:10" ht="15" x14ac:dyDescent="0.25">
      <c r="A8" s="11">
        <f t="shared" ref="A8:A58" si="0">+A7+1</f>
        <v>3</v>
      </c>
      <c r="B8" s="11">
        <v>1</v>
      </c>
      <c r="C8" t="s">
        <v>206</v>
      </c>
      <c r="D8" s="63" t="s">
        <v>389</v>
      </c>
      <c r="E8" s="24">
        <f>+'TransPlnt '!F19</f>
        <v>0</v>
      </c>
      <c r="F8" s="24">
        <f>+'TransPlnt '!G19</f>
        <v>0.36816632391316961</v>
      </c>
      <c r="G8" s="24">
        <f>+'TransPlnt '!H19</f>
        <v>0.63183367608683039</v>
      </c>
    </row>
    <row r="9" spans="1:10" ht="15" x14ac:dyDescent="0.25">
      <c r="A9" s="11">
        <f t="shared" si="0"/>
        <v>4</v>
      </c>
      <c r="B9" s="11">
        <v>2</v>
      </c>
      <c r="C9" t="s">
        <v>207</v>
      </c>
      <c r="D9" s="63" t="s">
        <v>390</v>
      </c>
      <c r="E9" s="24">
        <f>+'TransPlnt '!F20</f>
        <v>0</v>
      </c>
      <c r="F9" s="24">
        <f>+'TransPlnt '!G20</f>
        <v>0.7393789865277014</v>
      </c>
      <c r="G9" s="24">
        <f>+'TransPlnt '!H20</f>
        <v>0.2606210134722986</v>
      </c>
    </row>
    <row r="10" spans="1:10" ht="15" x14ac:dyDescent="0.25">
      <c r="A10" s="11">
        <f t="shared" si="0"/>
        <v>5</v>
      </c>
      <c r="B10" s="11">
        <v>3</v>
      </c>
      <c r="C10" t="s">
        <v>208</v>
      </c>
      <c r="D10" s="11" t="s">
        <v>388</v>
      </c>
      <c r="E10" s="24">
        <f>+'TransPlnt '!F21</f>
        <v>0</v>
      </c>
      <c r="F10" s="24">
        <f>+'TransPlnt '!G21</f>
        <v>0.57449122321525592</v>
      </c>
      <c r="G10" s="24">
        <f>+'TransPlnt '!H21</f>
        <v>0.42550877678474408</v>
      </c>
    </row>
    <row r="11" spans="1:10" x14ac:dyDescent="0.2">
      <c r="A11" s="11">
        <f t="shared" si="0"/>
        <v>6</v>
      </c>
      <c r="E11" s="24"/>
      <c r="F11" s="24"/>
      <c r="G11" s="24"/>
    </row>
    <row r="12" spans="1:10" x14ac:dyDescent="0.2">
      <c r="A12" s="11">
        <f t="shared" si="0"/>
        <v>7</v>
      </c>
      <c r="E12" s="35" t="s">
        <v>32</v>
      </c>
      <c r="F12" s="35" t="s">
        <v>32</v>
      </c>
    </row>
    <row r="13" spans="1:10" x14ac:dyDescent="0.2">
      <c r="A13" s="11">
        <f t="shared" si="0"/>
        <v>8</v>
      </c>
      <c r="C13" s="11" t="s">
        <v>297</v>
      </c>
      <c r="E13" s="35" t="s">
        <v>211</v>
      </c>
      <c r="F13" s="35" t="s">
        <v>114</v>
      </c>
    </row>
    <row r="14" spans="1:10" x14ac:dyDescent="0.2">
      <c r="A14" s="11">
        <f t="shared" si="0"/>
        <v>9</v>
      </c>
      <c r="C14" s="23" t="s">
        <v>296</v>
      </c>
      <c r="E14" s="36" t="s">
        <v>202</v>
      </c>
      <c r="F14" s="36" t="s">
        <v>202</v>
      </c>
    </row>
    <row r="15" spans="1:10" x14ac:dyDescent="0.2">
      <c r="A15" s="11">
        <f t="shared" si="0"/>
        <v>10</v>
      </c>
      <c r="B15" s="11">
        <v>10</v>
      </c>
      <c r="C15" s="11" t="s">
        <v>215</v>
      </c>
      <c r="D15" s="11" t="s">
        <v>429</v>
      </c>
      <c r="E15" s="24">
        <v>1</v>
      </c>
      <c r="F15" s="66">
        <v>0</v>
      </c>
    </row>
    <row r="16" spans="1:10" x14ac:dyDescent="0.2">
      <c r="A16" s="11">
        <f t="shared" si="0"/>
        <v>11</v>
      </c>
      <c r="B16" s="11">
        <f>+B15+1</f>
        <v>11</v>
      </c>
      <c r="C16" s="11" t="s">
        <v>212</v>
      </c>
      <c r="D16" s="11" t="s">
        <v>429</v>
      </c>
      <c r="E16" s="24">
        <v>9.0531344206524617E-2</v>
      </c>
      <c r="F16" s="24">
        <v>0.90946865579347536</v>
      </c>
    </row>
    <row r="17" spans="1:9" x14ac:dyDescent="0.2">
      <c r="A17" s="11">
        <f t="shared" si="0"/>
        <v>12</v>
      </c>
      <c r="B17" s="11">
        <f t="shared" ref="B17:B21" si="1">+B16+1</f>
        <v>12</v>
      </c>
      <c r="C17" s="11" t="s">
        <v>213</v>
      </c>
      <c r="D17" s="11" t="s">
        <v>429</v>
      </c>
      <c r="E17" s="24">
        <v>9.0531344206524617E-2</v>
      </c>
      <c r="F17" s="24">
        <v>0.90946865579347536</v>
      </c>
    </row>
    <row r="18" spans="1:9" x14ac:dyDescent="0.2">
      <c r="A18" s="11">
        <f t="shared" si="0"/>
        <v>13</v>
      </c>
      <c r="B18" s="11">
        <f t="shared" si="1"/>
        <v>13</v>
      </c>
      <c r="C18" s="11" t="s">
        <v>214</v>
      </c>
      <c r="D18" s="11" t="s">
        <v>429</v>
      </c>
      <c r="E18" s="24">
        <v>9.0531344206524617E-2</v>
      </c>
      <c r="F18" s="24">
        <v>0.90946865579347536</v>
      </c>
    </row>
    <row r="19" spans="1:9" x14ac:dyDescent="0.2">
      <c r="A19" s="11">
        <f t="shared" si="0"/>
        <v>14</v>
      </c>
      <c r="B19" s="11">
        <f t="shared" si="1"/>
        <v>14</v>
      </c>
      <c r="C19" s="11" t="s">
        <v>217</v>
      </c>
      <c r="D19" s="11" t="s">
        <v>391</v>
      </c>
      <c r="E19" s="24">
        <f>+'TransPlnt '!K21</f>
        <v>0.70332867261447152</v>
      </c>
      <c r="F19" s="24">
        <f>+'TransPlnt '!L21</f>
        <v>0.2660805834983454</v>
      </c>
    </row>
    <row r="20" spans="1:9" x14ac:dyDescent="0.2">
      <c r="A20" s="11">
        <f t="shared" si="0"/>
        <v>15</v>
      </c>
      <c r="B20" s="11">
        <f t="shared" si="1"/>
        <v>15</v>
      </c>
      <c r="C20" s="11" t="s">
        <v>451</v>
      </c>
      <c r="D20" s="11" t="s">
        <v>392</v>
      </c>
      <c r="E20" s="24">
        <f>+'TransPlnt '!K57</f>
        <v>0.50034975829675121</v>
      </c>
      <c r="F20" s="24">
        <f>+'TransPlnt '!L57</f>
        <v>0.49965024170324879</v>
      </c>
    </row>
    <row r="21" spans="1:9" x14ac:dyDescent="0.2">
      <c r="A21" s="11">
        <f t="shared" si="0"/>
        <v>16</v>
      </c>
      <c r="B21" s="11">
        <f t="shared" si="1"/>
        <v>16</v>
      </c>
      <c r="C21" s="11" t="s">
        <v>218</v>
      </c>
      <c r="D21" s="11" t="s">
        <v>393</v>
      </c>
      <c r="E21" s="24">
        <f>+'TransPlnt '!K69</f>
        <v>0.20979688261006016</v>
      </c>
      <c r="F21" s="24">
        <f>+'TransPlnt '!L69</f>
        <v>0.79020311738993987</v>
      </c>
    </row>
    <row r="22" spans="1:9" x14ac:dyDescent="0.2">
      <c r="A22" s="11">
        <f t="shared" si="0"/>
        <v>17</v>
      </c>
      <c r="E22" s="24"/>
      <c r="F22" s="24"/>
    </row>
    <row r="23" spans="1:9" x14ac:dyDescent="0.2">
      <c r="A23" s="11">
        <f t="shared" si="0"/>
        <v>18</v>
      </c>
      <c r="C23" s="11" t="s">
        <v>395</v>
      </c>
      <c r="E23" s="14" t="s">
        <v>113</v>
      </c>
      <c r="F23" s="43" t="s">
        <v>32</v>
      </c>
      <c r="G23" s="43" t="s">
        <v>28</v>
      </c>
      <c r="H23" s="43" t="s">
        <v>25</v>
      </c>
      <c r="I23" s="43" t="s">
        <v>24</v>
      </c>
    </row>
    <row r="24" spans="1:9" x14ac:dyDescent="0.2">
      <c r="A24" s="11">
        <f t="shared" si="0"/>
        <v>19</v>
      </c>
      <c r="C24" s="23" t="s">
        <v>299</v>
      </c>
      <c r="E24" s="29" t="s">
        <v>127</v>
      </c>
      <c r="F24" s="29" t="s">
        <v>127</v>
      </c>
      <c r="G24" s="29" t="s">
        <v>127</v>
      </c>
      <c r="H24" s="29" t="s">
        <v>127</v>
      </c>
      <c r="I24" s="29" t="s">
        <v>127</v>
      </c>
    </row>
    <row r="25" spans="1:9" x14ac:dyDescent="0.2">
      <c r="A25" s="11">
        <f t="shared" si="0"/>
        <v>20</v>
      </c>
      <c r="B25" s="11">
        <v>100</v>
      </c>
      <c r="C25" s="11" t="s">
        <v>242</v>
      </c>
      <c r="E25" s="24">
        <v>1</v>
      </c>
      <c r="F25" s="24">
        <v>0</v>
      </c>
      <c r="G25" s="24">
        <v>0</v>
      </c>
      <c r="H25" s="24">
        <v>0</v>
      </c>
      <c r="I25" s="24">
        <v>0</v>
      </c>
    </row>
    <row r="26" spans="1:9" x14ac:dyDescent="0.2">
      <c r="A26" s="11">
        <f t="shared" si="0"/>
        <v>21</v>
      </c>
      <c r="B26" s="11">
        <f>+B25+1</f>
        <v>101</v>
      </c>
      <c r="C26" s="11" t="s">
        <v>241</v>
      </c>
      <c r="D26" s="11" t="s">
        <v>438</v>
      </c>
      <c r="E26" s="24">
        <f>1-F26</f>
        <v>0.82334384858044163</v>
      </c>
      <c r="F26" s="24">
        <f>+'Delivery Pts'!E22</f>
        <v>0.17665615141955837</v>
      </c>
      <c r="G26" s="24">
        <f>+'Delivery Pts'!E11</f>
        <v>1.8927444794952682E-2</v>
      </c>
      <c r="H26" s="24">
        <f>+'Delivery Pts'!E8</f>
        <v>6.3091482649842269E-3</v>
      </c>
      <c r="I26" s="24">
        <f>+'Delivery Pts'!E14</f>
        <v>5.6782334384858045E-2</v>
      </c>
    </row>
    <row r="27" spans="1:9" x14ac:dyDescent="0.2">
      <c r="A27" s="11">
        <f t="shared" si="0"/>
        <v>22</v>
      </c>
      <c r="B27" s="11">
        <f t="shared" ref="B27:B31" si="2">+B26+1</f>
        <v>102</v>
      </c>
      <c r="C27" s="11" t="s">
        <v>98</v>
      </c>
      <c r="D27" s="11" t="s">
        <v>394</v>
      </c>
      <c r="E27" s="24">
        <f>+F43</f>
        <v>0.99809321581609356</v>
      </c>
      <c r="F27" s="24">
        <f>+G43</f>
        <v>1.9067841839064687E-3</v>
      </c>
      <c r="G27" s="24">
        <f t="shared" ref="G27:I27" si="3">+H43</f>
        <v>8.897437827438315E-5</v>
      </c>
      <c r="H27" s="24">
        <f t="shared" si="3"/>
        <v>0</v>
      </c>
      <c r="I27" s="24">
        <f t="shared" si="3"/>
        <v>1.8178098056320857E-3</v>
      </c>
    </row>
    <row r="28" spans="1:9" x14ac:dyDescent="0.2">
      <c r="A28" s="11">
        <f t="shared" si="0"/>
        <v>23</v>
      </c>
      <c r="B28" s="11">
        <f t="shared" si="2"/>
        <v>103</v>
      </c>
      <c r="C28" s="11" t="s">
        <v>243</v>
      </c>
      <c r="D28" s="11" t="s">
        <v>438</v>
      </c>
      <c r="E28" s="24">
        <f>+E26</f>
        <v>0.82334384858044163</v>
      </c>
      <c r="F28" s="24">
        <f t="shared" ref="F28:I28" si="4">+F26</f>
        <v>0.17665615141955837</v>
      </c>
      <c r="G28" s="24">
        <f t="shared" si="4"/>
        <v>1.8927444794952682E-2</v>
      </c>
      <c r="H28" s="24">
        <f t="shared" si="4"/>
        <v>6.3091482649842269E-3</v>
      </c>
      <c r="I28" s="24">
        <f t="shared" si="4"/>
        <v>5.6782334384858045E-2</v>
      </c>
    </row>
    <row r="29" spans="1:9" x14ac:dyDescent="0.2">
      <c r="A29" s="11">
        <f t="shared" si="0"/>
        <v>24</v>
      </c>
      <c r="B29" s="11">
        <f t="shared" si="2"/>
        <v>104</v>
      </c>
      <c r="C29" s="11" t="s">
        <v>244</v>
      </c>
      <c r="D29" s="11" t="s">
        <v>438</v>
      </c>
      <c r="E29" s="24">
        <f>+E26</f>
        <v>0.82334384858044163</v>
      </c>
      <c r="F29" s="24">
        <f t="shared" ref="F29:I29" si="5">+F26</f>
        <v>0.17665615141955837</v>
      </c>
      <c r="G29" s="24">
        <f t="shared" si="5"/>
        <v>1.8927444794952682E-2</v>
      </c>
      <c r="H29" s="24">
        <f t="shared" si="5"/>
        <v>6.3091482649842269E-3</v>
      </c>
      <c r="I29" s="24">
        <f t="shared" si="5"/>
        <v>5.6782334384858045E-2</v>
      </c>
    </row>
    <row r="30" spans="1:9" x14ac:dyDescent="0.2">
      <c r="A30" s="11">
        <f t="shared" si="0"/>
        <v>25</v>
      </c>
      <c r="B30" s="11">
        <f t="shared" si="2"/>
        <v>105</v>
      </c>
      <c r="C30" s="11" t="s">
        <v>245</v>
      </c>
      <c r="D30" s="11" t="s">
        <v>394</v>
      </c>
      <c r="E30" s="24">
        <f>+F43</f>
        <v>0.99809321581609356</v>
      </c>
      <c r="F30" s="24">
        <f t="shared" ref="F30:I30" si="6">+G43</f>
        <v>1.9067841839064687E-3</v>
      </c>
      <c r="G30" s="24">
        <f t="shared" si="6"/>
        <v>8.897437827438315E-5</v>
      </c>
      <c r="H30" s="24">
        <f>+I43</f>
        <v>0</v>
      </c>
      <c r="I30" s="24">
        <f t="shared" si="6"/>
        <v>1.8178098056320857E-3</v>
      </c>
    </row>
    <row r="31" spans="1:9" x14ac:dyDescent="0.2">
      <c r="A31" s="11">
        <f t="shared" si="0"/>
        <v>26</v>
      </c>
      <c r="B31" s="11">
        <f t="shared" si="2"/>
        <v>106</v>
      </c>
      <c r="C31" s="11" t="s">
        <v>254</v>
      </c>
      <c r="D31" s="11" t="s">
        <v>394</v>
      </c>
      <c r="E31" s="24">
        <f>+F43</f>
        <v>0.99809321581609356</v>
      </c>
      <c r="F31" s="24">
        <f t="shared" ref="F31:I31" si="7">+G43</f>
        <v>1.9067841839064687E-3</v>
      </c>
      <c r="G31" s="24">
        <f t="shared" si="7"/>
        <v>8.897437827438315E-5</v>
      </c>
      <c r="H31" s="24">
        <f>+I43</f>
        <v>0</v>
      </c>
      <c r="I31" s="24">
        <f t="shared" si="7"/>
        <v>1.8178098056320857E-3</v>
      </c>
    </row>
    <row r="32" spans="1:9" x14ac:dyDescent="0.2">
      <c r="A32" s="11">
        <f t="shared" si="0"/>
        <v>27</v>
      </c>
    </row>
    <row r="33" spans="1:10" x14ac:dyDescent="0.2">
      <c r="A33" s="11">
        <f t="shared" si="0"/>
        <v>28</v>
      </c>
    </row>
    <row r="34" spans="1:10" x14ac:dyDescent="0.2">
      <c r="A34" s="11">
        <f t="shared" si="0"/>
        <v>29</v>
      </c>
      <c r="E34" s="14" t="s">
        <v>1</v>
      </c>
      <c r="F34" s="39" t="s">
        <v>113</v>
      </c>
      <c r="G34" s="43" t="s">
        <v>32</v>
      </c>
      <c r="H34" s="43" t="s">
        <v>28</v>
      </c>
      <c r="I34" s="43" t="s">
        <v>25</v>
      </c>
      <c r="J34" s="43" t="s">
        <v>24</v>
      </c>
    </row>
    <row r="35" spans="1:10" x14ac:dyDescent="0.2">
      <c r="A35" s="11">
        <f t="shared" si="0"/>
        <v>30</v>
      </c>
      <c r="C35" s="42" t="s">
        <v>270</v>
      </c>
      <c r="D35" s="68"/>
      <c r="E35" s="29" t="s">
        <v>127</v>
      </c>
      <c r="F35" s="29" t="s">
        <v>127</v>
      </c>
      <c r="G35" s="29" t="s">
        <v>127</v>
      </c>
      <c r="H35" s="29" t="s">
        <v>127</v>
      </c>
      <c r="I35" s="29" t="s">
        <v>127</v>
      </c>
      <c r="J35" s="29" t="s">
        <v>127</v>
      </c>
    </row>
    <row r="36" spans="1:10" x14ac:dyDescent="0.2">
      <c r="A36" s="11">
        <f t="shared" si="0"/>
        <v>31</v>
      </c>
      <c r="B36" s="11">
        <f>+Form1Exp!B23</f>
        <v>561</v>
      </c>
      <c r="C36" s="11" t="str">
        <f>+Form1Exp!C23</f>
        <v>Load Dispatching</v>
      </c>
      <c r="D36" s="11" t="s">
        <v>437</v>
      </c>
      <c r="E36" s="11">
        <f>+Form1Exp!E23</f>
        <v>215136</v>
      </c>
      <c r="F36" s="11">
        <f>+Form1Exp!G23</f>
        <v>207944.2959379064</v>
      </c>
      <c r="G36" s="11">
        <f>+Form1Exp!H23</f>
        <v>7191.7040620935941</v>
      </c>
      <c r="H36" s="11">
        <f>+Form1Exp!I23</f>
        <v>0</v>
      </c>
      <c r="I36" s="11">
        <f>+Form1Exp!J23</f>
        <v>0</v>
      </c>
      <c r="J36" s="11">
        <f>+Form1Exp!K23</f>
        <v>7191.7040620935941</v>
      </c>
    </row>
    <row r="37" spans="1:10" x14ac:dyDescent="0.2">
      <c r="A37" s="11">
        <f t="shared" si="0"/>
        <v>32</v>
      </c>
      <c r="B37" s="11">
        <f>+Form1Exp!B24</f>
        <v>562</v>
      </c>
      <c r="C37" s="11" t="s">
        <v>398</v>
      </c>
      <c r="D37" s="11" t="s">
        <v>436</v>
      </c>
      <c r="E37" s="11">
        <f>+Form1Exp!E24</f>
        <v>1866</v>
      </c>
      <c r="F37" s="11">
        <f>+Form1Exp!G24</f>
        <v>1697.0857126660244</v>
      </c>
      <c r="G37" s="11">
        <f>+Form1Exp!H24</f>
        <v>168.91428733397569</v>
      </c>
      <c r="H37" s="11">
        <f>+Form1Exp!I24</f>
        <v>0</v>
      </c>
      <c r="I37" s="11">
        <f>+Form1Exp!J24</f>
        <v>0</v>
      </c>
      <c r="J37" s="11">
        <f>+Form1Exp!K24</f>
        <v>168.91428733397569</v>
      </c>
    </row>
    <row r="38" spans="1:10" x14ac:dyDescent="0.2">
      <c r="A38" s="11">
        <f t="shared" si="0"/>
        <v>33</v>
      </c>
      <c r="B38" s="11">
        <f>+Form1Exp!B25</f>
        <v>562</v>
      </c>
      <c r="C38" s="11" t="str">
        <f>+Form1Exp!C25</f>
        <v>Station Expense GSEC</v>
      </c>
      <c r="D38" s="11" t="s">
        <v>439</v>
      </c>
      <c r="E38" s="11">
        <f>+Form1Exp!E25</f>
        <v>0</v>
      </c>
      <c r="F38" s="11">
        <f>+Form1Exp!G25</f>
        <v>0</v>
      </c>
      <c r="G38" s="11">
        <f>+Form1Exp!H25</f>
        <v>0</v>
      </c>
      <c r="H38" s="11">
        <f>+Form1Exp!I25</f>
        <v>0</v>
      </c>
      <c r="I38" s="11">
        <f>+Form1Exp!J25</f>
        <v>0</v>
      </c>
      <c r="J38" s="11">
        <f>+Form1Exp!K25</f>
        <v>0</v>
      </c>
    </row>
    <row r="39" spans="1:10" x14ac:dyDescent="0.2">
      <c r="A39" s="11">
        <f t="shared" si="0"/>
        <v>34</v>
      </c>
      <c r="B39" s="11">
        <f>+Form1Exp!B26</f>
        <v>565</v>
      </c>
      <c r="C39" s="11" t="str">
        <f>+Form1Exp!C26</f>
        <v>Transmission by Others</v>
      </c>
      <c r="D39" s="11" t="s">
        <v>440</v>
      </c>
      <c r="E39" s="11">
        <f>+Form1Exp!E26</f>
        <v>52156361</v>
      </c>
      <c r="F39" s="11">
        <f>+Form1Exp!G26</f>
        <v>52156361</v>
      </c>
      <c r="G39" s="11">
        <f>+Form1Exp!H26</f>
        <v>0</v>
      </c>
      <c r="H39" s="11">
        <f>+Form1Exp!I26</f>
        <v>0</v>
      </c>
      <c r="I39" s="11">
        <f>+Form1Exp!J26</f>
        <v>0</v>
      </c>
      <c r="J39" s="11">
        <f>+Form1Exp!K26</f>
        <v>0</v>
      </c>
    </row>
    <row r="40" spans="1:10" x14ac:dyDescent="0.2">
      <c r="A40" s="11">
        <f t="shared" si="0"/>
        <v>35</v>
      </c>
      <c r="B40" s="11">
        <f>+Form1Exp!B30</f>
        <v>570</v>
      </c>
      <c r="C40" s="11" t="s">
        <v>399</v>
      </c>
      <c r="D40" s="11" t="s">
        <v>441</v>
      </c>
      <c r="E40" s="11">
        <f>+Form1Exp!E30</f>
        <v>169246</v>
      </c>
      <c r="F40" s="11">
        <f>+Form1Exp!G30</f>
        <v>129322.81</v>
      </c>
      <c r="G40" s="11">
        <f>+Form1Exp!H30</f>
        <v>39923.19</v>
      </c>
      <c r="H40" s="11">
        <f>+Form1Exp!I30</f>
        <v>0</v>
      </c>
      <c r="I40" s="11">
        <f>+Form1Exp!J30</f>
        <v>0</v>
      </c>
      <c r="J40" s="11">
        <f>+Form1Exp!K30</f>
        <v>39923.19</v>
      </c>
    </row>
    <row r="41" spans="1:10" x14ac:dyDescent="0.2">
      <c r="A41" s="11">
        <f t="shared" si="0"/>
        <v>36</v>
      </c>
      <c r="B41" s="11">
        <f>+Form1Exp!B31</f>
        <v>571</v>
      </c>
      <c r="C41" s="11" t="s">
        <v>400</v>
      </c>
      <c r="D41" s="11" t="s">
        <v>442</v>
      </c>
      <c r="E41" s="11">
        <f>+Form1Exp!E31</f>
        <v>101792</v>
      </c>
      <c r="F41" s="11">
        <f>+Form1Exp!G31</f>
        <v>48694.297151397681</v>
      </c>
      <c r="G41" s="11">
        <f>+Form1Exp!H31</f>
        <v>53097.702848602319</v>
      </c>
      <c r="H41" s="11">
        <f>+Form1Exp!I31</f>
        <v>4684.0028486023148</v>
      </c>
      <c r="I41" s="11">
        <f>+Form1Exp!J31</f>
        <v>0</v>
      </c>
      <c r="J41" s="11">
        <f>+Form1Exp!K31</f>
        <v>48413.700000000004</v>
      </c>
    </row>
    <row r="42" spans="1:10" x14ac:dyDescent="0.2">
      <c r="A42" s="11">
        <f t="shared" si="0"/>
        <v>37</v>
      </c>
      <c r="C42" s="11" t="s">
        <v>1</v>
      </c>
      <c r="E42" s="11">
        <f>SUM(E36:E41)</f>
        <v>52644401</v>
      </c>
      <c r="F42" s="11">
        <f>SUM(F36:F41)</f>
        <v>52544019.488801971</v>
      </c>
      <c r="G42" s="11">
        <f t="shared" ref="G42:J42" si="8">SUM(G36:G41)</f>
        <v>100381.51119802988</v>
      </c>
      <c r="H42" s="11">
        <f>SUM(H36:H41)</f>
        <v>4684.0028486023148</v>
      </c>
      <c r="I42" s="11">
        <f t="shared" si="8"/>
        <v>0</v>
      </c>
      <c r="J42" s="11">
        <f t="shared" si="8"/>
        <v>95697.508349427575</v>
      </c>
    </row>
    <row r="43" spans="1:10" x14ac:dyDescent="0.2">
      <c r="A43" s="11">
        <f t="shared" si="0"/>
        <v>38</v>
      </c>
      <c r="C43" s="11" t="s">
        <v>1</v>
      </c>
      <c r="F43" s="24">
        <f>IFERROR(+F42/$E42,0)</f>
        <v>0.99809321581609356</v>
      </c>
      <c r="G43" s="24">
        <f t="shared" ref="G43:J43" si="9">IFERROR(+G42/$E42,0)</f>
        <v>1.9067841839064687E-3</v>
      </c>
      <c r="H43" s="24">
        <f t="shared" si="9"/>
        <v>8.897437827438315E-5</v>
      </c>
      <c r="I43" s="24">
        <f>IFERROR(+I42/$E42,0)</f>
        <v>0</v>
      </c>
      <c r="J43" s="24">
        <f t="shared" si="9"/>
        <v>1.8178098056320857E-3</v>
      </c>
    </row>
    <row r="44" spans="1:10" x14ac:dyDescent="0.2">
      <c r="A44" s="11">
        <f t="shared" si="0"/>
        <v>39</v>
      </c>
      <c r="G44" s="24"/>
      <c r="H44" s="24"/>
      <c r="I44" s="24"/>
      <c r="J44" s="24"/>
    </row>
    <row r="45" spans="1:10" x14ac:dyDescent="0.2">
      <c r="A45" s="11">
        <f t="shared" si="0"/>
        <v>40</v>
      </c>
      <c r="C45" s="42" t="s">
        <v>170</v>
      </c>
      <c r="D45" s="68"/>
      <c r="G45" s="24"/>
      <c r="H45" s="24"/>
      <c r="I45" s="24"/>
      <c r="J45" s="24"/>
    </row>
    <row r="46" spans="1:10" x14ac:dyDescent="0.2">
      <c r="A46" s="11">
        <f t="shared" si="0"/>
        <v>41</v>
      </c>
      <c r="C46" s="11" t="s">
        <v>176</v>
      </c>
      <c r="D46" s="11" t="s">
        <v>443</v>
      </c>
      <c r="E46" s="41">
        <f>+'Form 1 Plant '!F12</f>
        <v>302208488</v>
      </c>
      <c r="F46" s="41">
        <f>+'Form 1 Plant '!H12</f>
        <v>302208488</v>
      </c>
      <c r="G46" s="41">
        <f>+'Form 1 Plant '!I12</f>
        <v>0</v>
      </c>
      <c r="H46" s="41">
        <f>+'Form 1 Plant '!J12</f>
        <v>0</v>
      </c>
      <c r="I46" s="41">
        <f>+'Form 1 Plant '!K12</f>
        <v>0</v>
      </c>
      <c r="J46" s="41">
        <f>+'Form 1 Plant '!L12</f>
        <v>0</v>
      </c>
    </row>
    <row r="47" spans="1:10" x14ac:dyDescent="0.2">
      <c r="A47" s="11">
        <f t="shared" si="0"/>
        <v>42</v>
      </c>
      <c r="C47" s="11" t="s">
        <v>112</v>
      </c>
      <c r="D47" s="11" t="s">
        <v>444</v>
      </c>
      <c r="E47" s="41">
        <f>+'Form 1 Plant '!F22</f>
        <v>47302046</v>
      </c>
      <c r="F47" s="41">
        <f>+'Form 1 Plant '!H22</f>
        <v>22152444.794381887</v>
      </c>
      <c r="G47" s="41">
        <f>+'Form 1 Plant '!I22</f>
        <v>25149601.205618113</v>
      </c>
      <c r="H47" s="41">
        <f>+'Form 1 Plant '!J22</f>
        <v>3397586.6451645629</v>
      </c>
      <c r="I47" s="41">
        <f>+'Form 1 Plant '!K22</f>
        <v>12640408.374465751</v>
      </c>
      <c r="J47" s="41">
        <f>+'Form 1 Plant '!L22</f>
        <v>8606992.7475019954</v>
      </c>
    </row>
    <row r="48" spans="1:10" x14ac:dyDescent="0.2">
      <c r="A48" s="11">
        <f t="shared" si="0"/>
        <v>43</v>
      </c>
      <c r="C48" s="11" t="s">
        <v>1</v>
      </c>
      <c r="E48" s="41">
        <f t="shared" ref="E48:J48" si="10">SUM(E46:E47)</f>
        <v>349510534</v>
      </c>
      <c r="F48" s="41">
        <f t="shared" si="10"/>
        <v>324360932.79438186</v>
      </c>
      <c r="G48" s="41">
        <f t="shared" si="10"/>
        <v>25149601.205618113</v>
      </c>
      <c r="H48" s="41">
        <f t="shared" si="10"/>
        <v>3397586.6451645629</v>
      </c>
      <c r="I48" s="41">
        <f t="shared" si="10"/>
        <v>12640408.374465751</v>
      </c>
      <c r="J48" s="41">
        <f t="shared" si="10"/>
        <v>8606992.7475019954</v>
      </c>
    </row>
    <row r="49" spans="1:10" x14ac:dyDescent="0.2">
      <c r="A49" s="11">
        <f t="shared" si="0"/>
        <v>44</v>
      </c>
      <c r="C49" s="11" t="s">
        <v>1</v>
      </c>
      <c r="F49" s="24">
        <f>IFERROR(+F48/$E48,0)</f>
        <v>0.92804336705451584</v>
      </c>
      <c r="G49" s="24">
        <f t="shared" ref="G49:J49" si="11">IFERROR(+G48/$E48,0)</f>
        <v>7.1956632945484017E-2</v>
      </c>
      <c r="H49" s="24">
        <f t="shared" si="11"/>
        <v>9.7209849622574267E-3</v>
      </c>
      <c r="I49" s="24">
        <f t="shared" si="11"/>
        <v>3.6166029761110864E-2</v>
      </c>
      <c r="J49" s="24">
        <f t="shared" si="11"/>
        <v>2.4625846463048221E-2</v>
      </c>
    </row>
    <row r="50" spans="1:10" x14ac:dyDescent="0.2">
      <c r="A50" s="11">
        <f t="shared" si="0"/>
        <v>45</v>
      </c>
      <c r="G50" s="24"/>
      <c r="H50" s="24"/>
      <c r="I50" s="24"/>
      <c r="J50" s="24"/>
    </row>
    <row r="51" spans="1:10" x14ac:dyDescent="0.2">
      <c r="A51" s="11">
        <f t="shared" si="0"/>
        <v>46</v>
      </c>
      <c r="C51" s="42" t="s">
        <v>246</v>
      </c>
      <c r="D51" s="68"/>
    </row>
    <row r="52" spans="1:10" ht="15" x14ac:dyDescent="0.25">
      <c r="A52" s="11">
        <f t="shared" si="0"/>
        <v>47</v>
      </c>
      <c r="C52" s="11" t="s">
        <v>247</v>
      </c>
      <c r="D52" t="s">
        <v>430</v>
      </c>
      <c r="E52" s="149">
        <v>1274017</v>
      </c>
      <c r="F52" s="24">
        <f t="shared" ref="F52:F56" si="12">IFERROR(+E52/(SUM(E$52:E$56)),0)</f>
        <v>0.4388792949915033</v>
      </c>
    </row>
    <row r="53" spans="1:10" ht="15" x14ac:dyDescent="0.25">
      <c r="A53" s="11">
        <f t="shared" si="0"/>
        <v>48</v>
      </c>
      <c r="C53" s="11" t="s">
        <v>248</v>
      </c>
      <c r="D53" t="s">
        <v>431</v>
      </c>
      <c r="E53" s="149">
        <v>341137</v>
      </c>
      <c r="F53" s="24">
        <f t="shared" si="12"/>
        <v>0.11751645861516484</v>
      </c>
    </row>
    <row r="54" spans="1:10" ht="15" x14ac:dyDescent="0.25">
      <c r="A54" s="11">
        <f t="shared" si="0"/>
        <v>49</v>
      </c>
      <c r="C54" s="11" t="s">
        <v>252</v>
      </c>
      <c r="D54" t="s">
        <v>432</v>
      </c>
      <c r="E54" s="149">
        <v>682615</v>
      </c>
      <c r="F54" s="24">
        <f t="shared" si="12"/>
        <v>0.23515038649454836</v>
      </c>
    </row>
    <row r="55" spans="1:10" ht="15" x14ac:dyDescent="0.25">
      <c r="A55" s="11">
        <f t="shared" si="0"/>
        <v>50</v>
      </c>
      <c r="C55" s="11" t="s">
        <v>249</v>
      </c>
      <c r="D55" t="s">
        <v>433</v>
      </c>
      <c r="E55" s="149">
        <v>0</v>
      </c>
      <c r="F55" s="24">
        <f t="shared" si="12"/>
        <v>0</v>
      </c>
    </row>
    <row r="56" spans="1:10" ht="15" x14ac:dyDescent="0.25">
      <c r="A56" s="11">
        <f t="shared" si="0"/>
        <v>51</v>
      </c>
      <c r="C56" s="11" t="s">
        <v>250</v>
      </c>
      <c r="D56" t="s">
        <v>434</v>
      </c>
      <c r="E56" s="149">
        <v>605118</v>
      </c>
      <c r="F56" s="24">
        <f t="shared" si="12"/>
        <v>0.20845385989878351</v>
      </c>
    </row>
    <row r="57" spans="1:10" ht="15" x14ac:dyDescent="0.25">
      <c r="A57" s="11">
        <f t="shared" si="0"/>
        <v>52</v>
      </c>
      <c r="C57" s="11" t="s">
        <v>251</v>
      </c>
      <c r="D57" t="s">
        <v>435</v>
      </c>
      <c r="E57" s="149">
        <v>8936263</v>
      </c>
      <c r="F57" s="24">
        <f>IFERROR(+E57/(SUM(E$52:E$56)),0)</f>
        <v>3.0784053943539655</v>
      </c>
    </row>
    <row r="58" spans="1:10" x14ac:dyDescent="0.2">
      <c r="A58" s="11">
        <f t="shared" si="0"/>
        <v>53</v>
      </c>
      <c r="C58" s="11" t="s">
        <v>253</v>
      </c>
      <c r="E58" s="41">
        <f>SUM(E52:E57)</f>
        <v>11839150</v>
      </c>
      <c r="F58" s="24">
        <f>SUM(F52:F57)</f>
        <v>4.0784053943539655</v>
      </c>
    </row>
    <row r="60" spans="1:10" x14ac:dyDescent="0.2">
      <c r="C60" s="11" t="s">
        <v>448</v>
      </c>
    </row>
  </sheetData>
  <mergeCells count="2">
    <mergeCell ref="C1:J1"/>
    <mergeCell ref="C2:J2"/>
  </mergeCells>
  <printOptions horizontalCentered="1"/>
  <pageMargins left="0.5" right="0.5" top="1" bottom="1" header="0.5" footer="0.5"/>
  <pageSetup scale="85" fitToHeight="2" orientation="landscape" r:id="rId1"/>
  <headerFooter alignWithMargins="0">
    <oddHeader xml:space="preserve">&amp;RSchedule F1.0
</oddHeader>
    <oddFooter>&amp;L&amp;8&amp;Z&amp;F&amp;R&amp;14&amp;D</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7"/>
  <sheetViews>
    <sheetView zoomScale="80" zoomScaleNormal="80" workbookViewId="0"/>
  </sheetViews>
  <sheetFormatPr defaultRowHeight="15" x14ac:dyDescent="0.25"/>
  <cols>
    <col min="1" max="1" width="5.85546875" style="135" customWidth="1"/>
    <col min="2" max="2" width="21.85546875" style="135" customWidth="1"/>
    <col min="3" max="3" width="10.85546875" style="135" customWidth="1"/>
    <col min="4" max="4" width="9.7109375" style="135" customWidth="1"/>
    <col min="5" max="5" width="12" style="135" customWidth="1"/>
    <col min="6" max="7" width="13.7109375" style="135" bestFit="1" customWidth="1"/>
    <col min="8" max="8" width="12.5703125" style="135" bestFit="1" customWidth="1"/>
    <col min="9" max="13" width="13.7109375" style="135" bestFit="1" customWidth="1"/>
    <col min="14" max="14" width="12.5703125" style="135" bestFit="1" customWidth="1"/>
    <col min="15" max="16" width="13.7109375" style="135" bestFit="1" customWidth="1"/>
    <col min="17" max="17" width="15.28515625" style="135" bestFit="1" customWidth="1"/>
    <col min="18" max="18" width="11.5703125" style="135" bestFit="1" customWidth="1"/>
    <col min="19" max="19" width="9.140625" style="135"/>
    <col min="20" max="20" width="11.28515625" style="135" bestFit="1" customWidth="1"/>
    <col min="21" max="21" width="9.140625" style="135"/>
    <col min="22" max="22" width="10.28515625" style="135" bestFit="1" customWidth="1"/>
    <col min="23" max="16384" width="9.140625" style="135"/>
  </cols>
  <sheetData>
    <row r="1" spans="1:22" x14ac:dyDescent="0.25">
      <c r="B1" s="188" t="s">
        <v>33</v>
      </c>
      <c r="C1" s="188"/>
      <c r="D1" s="188"/>
      <c r="E1" s="188"/>
      <c r="F1" s="188"/>
      <c r="G1" s="188"/>
      <c r="H1" s="188"/>
      <c r="I1" s="188"/>
      <c r="J1" s="188"/>
      <c r="K1" s="188"/>
      <c r="L1" s="188"/>
      <c r="M1" s="188"/>
      <c r="N1" s="188"/>
      <c r="O1" s="188"/>
      <c r="P1" s="188"/>
      <c r="Q1" s="188"/>
      <c r="R1" s="188"/>
    </row>
    <row r="2" spans="1:22" x14ac:dyDescent="0.25">
      <c r="B2" s="188" t="s">
        <v>460</v>
      </c>
      <c r="C2" s="188"/>
      <c r="D2" s="188"/>
      <c r="E2" s="188"/>
      <c r="F2" s="188"/>
      <c r="G2" s="188"/>
      <c r="H2" s="188"/>
      <c r="I2" s="188"/>
      <c r="J2" s="188"/>
      <c r="K2" s="188"/>
      <c r="L2" s="188"/>
      <c r="M2" s="188"/>
      <c r="N2" s="188"/>
      <c r="O2" s="188"/>
      <c r="P2" s="188"/>
      <c r="Q2" s="188"/>
      <c r="R2" s="188"/>
    </row>
    <row r="4" spans="1:22" x14ac:dyDescent="0.25">
      <c r="B4" s="112" t="s">
        <v>420</v>
      </c>
    </row>
    <row r="5" spans="1:22" x14ac:dyDescent="0.25">
      <c r="D5" s="139" t="s">
        <v>419</v>
      </c>
      <c r="E5" s="139" t="s">
        <v>153</v>
      </c>
    </row>
    <row r="6" spans="1:22" x14ac:dyDescent="0.25">
      <c r="D6" s="139" t="s">
        <v>128</v>
      </c>
      <c r="E6" s="139" t="s">
        <v>39</v>
      </c>
      <c r="F6" s="139" t="s">
        <v>8</v>
      </c>
      <c r="G6" s="139" t="s">
        <v>9</v>
      </c>
      <c r="H6" s="139" t="s">
        <v>10</v>
      </c>
      <c r="I6" s="139" t="s">
        <v>11</v>
      </c>
      <c r="J6" s="139" t="s">
        <v>12</v>
      </c>
      <c r="K6" s="139" t="s">
        <v>13</v>
      </c>
      <c r="L6" s="139" t="s">
        <v>14</v>
      </c>
      <c r="M6" s="139" t="s">
        <v>15</v>
      </c>
      <c r="N6" s="139" t="s">
        <v>16</v>
      </c>
      <c r="O6" s="139" t="s">
        <v>17</v>
      </c>
      <c r="P6" s="139" t="s">
        <v>18</v>
      </c>
      <c r="Q6" s="139" t="s">
        <v>19</v>
      </c>
      <c r="R6" s="139" t="s">
        <v>1</v>
      </c>
    </row>
    <row r="7" spans="1:22" x14ac:dyDescent="0.25">
      <c r="D7" s="113" t="s">
        <v>111</v>
      </c>
      <c r="E7" s="113" t="s">
        <v>111</v>
      </c>
      <c r="F7" s="113" t="s">
        <v>127</v>
      </c>
      <c r="G7" s="113" t="s">
        <v>127</v>
      </c>
      <c r="H7" s="113" t="s">
        <v>127</v>
      </c>
      <c r="I7" s="113" t="s">
        <v>127</v>
      </c>
      <c r="J7" s="113" t="s">
        <v>127</v>
      </c>
      <c r="K7" s="113" t="s">
        <v>127</v>
      </c>
      <c r="L7" s="113" t="s">
        <v>127</v>
      </c>
      <c r="M7" s="113" t="s">
        <v>127</v>
      </c>
      <c r="N7" s="113" t="s">
        <v>127</v>
      </c>
      <c r="O7" s="113" t="s">
        <v>127</v>
      </c>
      <c r="P7" s="113" t="s">
        <v>127</v>
      </c>
      <c r="Q7" s="113" t="s">
        <v>127</v>
      </c>
      <c r="R7" s="113" t="s">
        <v>127</v>
      </c>
    </row>
    <row r="8" spans="1:22" x14ac:dyDescent="0.25">
      <c r="A8" s="139">
        <v>1</v>
      </c>
      <c r="B8" s="114" t="s">
        <v>160</v>
      </c>
      <c r="C8" s="139"/>
      <c r="F8" s="3"/>
      <c r="G8" s="3"/>
      <c r="H8" s="3"/>
      <c r="I8" s="3"/>
      <c r="J8" s="3"/>
      <c r="K8" s="3"/>
      <c r="L8" s="3"/>
      <c r="M8" s="3"/>
      <c r="N8" s="3"/>
      <c r="O8" s="3"/>
      <c r="P8" s="3"/>
      <c r="Q8" s="3"/>
      <c r="R8" s="3"/>
    </row>
    <row r="9" spans="1:22" x14ac:dyDescent="0.25">
      <c r="A9" s="139">
        <f>+A8+1</f>
        <v>2</v>
      </c>
      <c r="B9" s="135" t="s">
        <v>125</v>
      </c>
      <c r="C9" s="139" t="s">
        <v>7</v>
      </c>
      <c r="D9" s="139">
        <v>1</v>
      </c>
      <c r="E9" s="139" t="s">
        <v>154</v>
      </c>
      <c r="F9" s="134">
        <v>7257</v>
      </c>
      <c r="G9" s="134">
        <v>7701</v>
      </c>
      <c r="H9" s="134">
        <v>5215</v>
      </c>
      <c r="I9" s="134">
        <v>5596</v>
      </c>
      <c r="J9" s="134">
        <v>5589</v>
      </c>
      <c r="K9" s="134">
        <v>6763</v>
      </c>
      <c r="L9" s="134">
        <v>12229</v>
      </c>
      <c r="M9" s="134">
        <v>16143</v>
      </c>
      <c r="N9" s="134">
        <v>7637</v>
      </c>
      <c r="O9" s="134">
        <v>4870</v>
      </c>
      <c r="P9" s="134">
        <v>4910</v>
      </c>
      <c r="Q9" s="134">
        <v>6063</v>
      </c>
      <c r="R9" s="3">
        <f>SUM(F9:Q9)</f>
        <v>89973</v>
      </c>
      <c r="T9" s="3"/>
      <c r="V9" s="136"/>
    </row>
    <row r="10" spans="1:22" x14ac:dyDescent="0.25">
      <c r="A10" s="139">
        <f t="shared" ref="A10:A61" si="0">+A9+1</f>
        <v>3</v>
      </c>
      <c r="B10" s="135" t="s">
        <v>126</v>
      </c>
      <c r="C10" s="139" t="s">
        <v>7</v>
      </c>
      <c r="D10" s="139">
        <v>1</v>
      </c>
      <c r="E10" s="139" t="s">
        <v>154</v>
      </c>
      <c r="F10" s="134">
        <v>2827</v>
      </c>
      <c r="G10" s="134">
        <v>6851</v>
      </c>
      <c r="H10" s="134">
        <v>6444</v>
      </c>
      <c r="I10" s="134">
        <v>6611</v>
      </c>
      <c r="J10" s="134">
        <v>6982</v>
      </c>
      <c r="K10" s="134">
        <v>7168</v>
      </c>
      <c r="L10" s="134">
        <v>3123</v>
      </c>
      <c r="M10" s="134">
        <v>0</v>
      </c>
      <c r="N10" s="134">
        <v>7130</v>
      </c>
      <c r="O10" s="134">
        <v>6419</v>
      </c>
      <c r="P10" s="134">
        <v>6850</v>
      </c>
      <c r="Q10" s="134">
        <v>6852</v>
      </c>
      <c r="R10" s="3">
        <f>SUM(F10:Q10)</f>
        <v>67257</v>
      </c>
      <c r="T10" s="3"/>
      <c r="V10" s="136"/>
    </row>
    <row r="11" spans="1:22" x14ac:dyDescent="0.25">
      <c r="A11" s="139">
        <f t="shared" si="0"/>
        <v>4</v>
      </c>
      <c r="B11" s="135" t="s">
        <v>1</v>
      </c>
      <c r="C11" s="139" t="s">
        <v>7</v>
      </c>
      <c r="D11" s="139"/>
      <c r="E11" s="139"/>
      <c r="F11" s="91">
        <f>SUM(F9:F10)</f>
        <v>10084</v>
      </c>
      <c r="G11" s="91">
        <f t="shared" ref="G11:Q11" si="1">SUM(G9:G10)</f>
        <v>14552</v>
      </c>
      <c r="H11" s="91">
        <f t="shared" si="1"/>
        <v>11659</v>
      </c>
      <c r="I11" s="91">
        <f t="shared" si="1"/>
        <v>12207</v>
      </c>
      <c r="J11" s="91">
        <f t="shared" si="1"/>
        <v>12571</v>
      </c>
      <c r="K11" s="91">
        <f t="shared" si="1"/>
        <v>13931</v>
      </c>
      <c r="L11" s="91">
        <f t="shared" si="1"/>
        <v>15352</v>
      </c>
      <c r="M11" s="91">
        <f t="shared" si="1"/>
        <v>16143</v>
      </c>
      <c r="N11" s="91">
        <f t="shared" si="1"/>
        <v>14767</v>
      </c>
      <c r="O11" s="91">
        <f t="shared" si="1"/>
        <v>11289</v>
      </c>
      <c r="P11" s="91">
        <f t="shared" si="1"/>
        <v>11760</v>
      </c>
      <c r="Q11" s="91">
        <f t="shared" si="1"/>
        <v>12915</v>
      </c>
      <c r="R11" s="3">
        <f>SUM(F11:Q11)</f>
        <v>157230</v>
      </c>
      <c r="T11" s="3"/>
      <c r="V11" s="136"/>
    </row>
    <row r="12" spans="1:22" x14ac:dyDescent="0.25">
      <c r="A12" s="139">
        <f t="shared" si="0"/>
        <v>5</v>
      </c>
      <c r="B12" s="135" t="s">
        <v>156</v>
      </c>
      <c r="C12" s="139"/>
      <c r="D12" s="139"/>
      <c r="E12" s="139"/>
      <c r="F12" s="3"/>
      <c r="G12" s="3"/>
      <c r="H12" s="3"/>
      <c r="I12" s="3"/>
      <c r="J12" s="3"/>
      <c r="K12" s="3"/>
      <c r="L12" s="3"/>
      <c r="M12" s="3"/>
      <c r="N12" s="3"/>
      <c r="O12" s="3"/>
      <c r="P12" s="3"/>
      <c r="Q12" s="3"/>
      <c r="R12" s="3"/>
      <c r="T12" s="3"/>
      <c r="V12" s="136"/>
    </row>
    <row r="13" spans="1:22" x14ac:dyDescent="0.25">
      <c r="A13" s="139">
        <f t="shared" si="0"/>
        <v>6</v>
      </c>
      <c r="B13" s="135" t="s">
        <v>157</v>
      </c>
      <c r="C13" s="139"/>
      <c r="D13" s="139"/>
      <c r="E13" s="139"/>
      <c r="F13" s="3">
        <f>SUM(F11:F12)</f>
        <v>10084</v>
      </c>
      <c r="G13" s="3">
        <f t="shared" ref="G13:Q13" si="2">SUM(G11:G12)</f>
        <v>14552</v>
      </c>
      <c r="H13" s="3">
        <f t="shared" si="2"/>
        <v>11659</v>
      </c>
      <c r="I13" s="3">
        <f t="shared" si="2"/>
        <v>12207</v>
      </c>
      <c r="J13" s="3">
        <f t="shared" si="2"/>
        <v>12571</v>
      </c>
      <c r="K13" s="3">
        <f t="shared" si="2"/>
        <v>13931</v>
      </c>
      <c r="L13" s="3">
        <f t="shared" si="2"/>
        <v>15352</v>
      </c>
      <c r="M13" s="3">
        <f t="shared" si="2"/>
        <v>16143</v>
      </c>
      <c r="N13" s="3">
        <f t="shared" si="2"/>
        <v>14767</v>
      </c>
      <c r="O13" s="3">
        <f t="shared" si="2"/>
        <v>11289</v>
      </c>
      <c r="P13" s="3">
        <f t="shared" si="2"/>
        <v>11760</v>
      </c>
      <c r="Q13" s="3">
        <f t="shared" si="2"/>
        <v>12915</v>
      </c>
      <c r="R13" s="3">
        <f>SUM(F13:Q13)</f>
        <v>157230</v>
      </c>
      <c r="T13" s="3"/>
      <c r="V13" s="136"/>
    </row>
    <row r="14" spans="1:22" x14ac:dyDescent="0.25">
      <c r="A14" s="139">
        <f t="shared" si="0"/>
        <v>7</v>
      </c>
      <c r="C14" s="139"/>
      <c r="D14" s="139"/>
      <c r="E14" s="139"/>
      <c r="F14" s="3"/>
      <c r="G14" s="3"/>
      <c r="H14" s="3"/>
      <c r="I14" s="3"/>
      <c r="J14" s="3"/>
      <c r="K14" s="3"/>
      <c r="L14" s="3"/>
      <c r="M14" s="3"/>
      <c r="N14" s="3"/>
      <c r="O14" s="3"/>
      <c r="P14" s="3"/>
      <c r="Q14" s="3"/>
      <c r="R14" s="3"/>
    </row>
    <row r="15" spans="1:22" x14ac:dyDescent="0.25">
      <c r="A15" s="139">
        <f t="shared" si="0"/>
        <v>8</v>
      </c>
      <c r="B15" s="135" t="s">
        <v>159</v>
      </c>
      <c r="C15" s="139"/>
      <c r="D15" s="139"/>
      <c r="E15" s="139"/>
      <c r="F15" s="3"/>
      <c r="G15" s="3"/>
      <c r="H15" s="3"/>
      <c r="I15" s="3"/>
      <c r="J15" s="3"/>
      <c r="K15" s="3"/>
      <c r="L15" s="134"/>
      <c r="M15" s="134"/>
      <c r="N15" s="134"/>
      <c r="O15" s="134"/>
      <c r="P15" s="134"/>
      <c r="Q15" s="134"/>
      <c r="R15" s="3"/>
    </row>
    <row r="16" spans="1:22" x14ac:dyDescent="0.25">
      <c r="A16" s="139">
        <f t="shared" si="0"/>
        <v>9</v>
      </c>
      <c r="D16" s="113"/>
      <c r="F16" s="134"/>
      <c r="G16" s="134"/>
      <c r="H16" s="134"/>
      <c r="I16" s="134"/>
      <c r="J16" s="134"/>
      <c r="K16" s="134"/>
      <c r="L16" s="134"/>
      <c r="M16" s="134"/>
      <c r="N16" s="134"/>
      <c r="O16" s="134"/>
      <c r="P16" s="134"/>
      <c r="Q16" s="134"/>
      <c r="R16" s="113"/>
    </row>
    <row r="17" spans="1:22" x14ac:dyDescent="0.25">
      <c r="A17" s="139">
        <f t="shared" si="0"/>
        <v>10</v>
      </c>
      <c r="B17" s="114" t="s">
        <v>161</v>
      </c>
      <c r="D17" s="113"/>
      <c r="F17" s="113"/>
      <c r="G17" s="113"/>
      <c r="H17" s="113"/>
      <c r="I17" s="113"/>
      <c r="J17" s="113"/>
      <c r="K17" s="113"/>
      <c r="L17" s="113"/>
      <c r="M17" s="113"/>
      <c r="N17" s="113"/>
      <c r="O17" s="113"/>
      <c r="P17" s="113"/>
      <c r="Q17" s="113"/>
      <c r="R17" s="113"/>
    </row>
    <row r="18" spans="1:22" x14ac:dyDescent="0.25">
      <c r="A18" s="139">
        <f t="shared" si="0"/>
        <v>11</v>
      </c>
      <c r="B18" s="140" t="s">
        <v>118</v>
      </c>
      <c r="C18" s="139" t="s">
        <v>7</v>
      </c>
      <c r="D18" s="139">
        <v>2</v>
      </c>
      <c r="F18" s="134">
        <v>81</v>
      </c>
      <c r="G18" s="134">
        <v>57</v>
      </c>
      <c r="H18" s="134">
        <v>25</v>
      </c>
      <c r="I18" s="134">
        <v>30</v>
      </c>
      <c r="J18" s="134">
        <v>32</v>
      </c>
      <c r="K18" s="134">
        <v>40</v>
      </c>
      <c r="L18" s="134">
        <v>41</v>
      </c>
      <c r="M18" s="134">
        <v>39</v>
      </c>
      <c r="N18" s="134">
        <v>36</v>
      </c>
      <c r="O18" s="134">
        <v>34</v>
      </c>
      <c r="P18" s="134">
        <v>25</v>
      </c>
      <c r="Q18" s="134">
        <v>75</v>
      </c>
      <c r="R18" s="3">
        <f t="shared" ref="R18:R25" si="3">SUM(F18:Q18)</f>
        <v>515</v>
      </c>
    </row>
    <row r="19" spans="1:22" x14ac:dyDescent="0.25">
      <c r="A19" s="139">
        <f t="shared" si="0"/>
        <v>12</v>
      </c>
      <c r="B19" s="140" t="s">
        <v>119</v>
      </c>
      <c r="C19" s="139" t="s">
        <v>7</v>
      </c>
      <c r="D19" s="139">
        <v>2</v>
      </c>
      <c r="F19" s="134">
        <v>808</v>
      </c>
      <c r="G19" s="134">
        <v>818</v>
      </c>
      <c r="H19" s="134">
        <v>286</v>
      </c>
      <c r="I19" s="134">
        <v>316</v>
      </c>
      <c r="J19" s="134">
        <v>317</v>
      </c>
      <c r="K19" s="134">
        <v>470</v>
      </c>
      <c r="L19" s="134">
        <v>651</v>
      </c>
      <c r="M19" s="134">
        <v>684</v>
      </c>
      <c r="N19" s="134">
        <v>539</v>
      </c>
      <c r="O19" s="134">
        <v>417</v>
      </c>
      <c r="P19" s="134">
        <v>456</v>
      </c>
      <c r="Q19" s="134">
        <v>651</v>
      </c>
      <c r="R19" s="3">
        <f t="shared" si="3"/>
        <v>6413</v>
      </c>
    </row>
    <row r="20" spans="1:22" x14ac:dyDescent="0.25">
      <c r="A20" s="139">
        <f t="shared" si="0"/>
        <v>13</v>
      </c>
      <c r="B20" s="140" t="s">
        <v>120</v>
      </c>
      <c r="C20" s="139" t="s">
        <v>7</v>
      </c>
      <c r="D20" s="139">
        <v>1</v>
      </c>
      <c r="F20" s="134">
        <v>26916</v>
      </c>
      <c r="G20" s="134">
        <v>26494</v>
      </c>
      <c r="H20" s="134">
        <v>27077</v>
      </c>
      <c r="I20" s="134">
        <v>27818</v>
      </c>
      <c r="J20" s="134">
        <v>24402</v>
      </c>
      <c r="K20" s="134">
        <v>25906</v>
      </c>
      <c r="L20" s="134">
        <v>25919</v>
      </c>
      <c r="M20" s="134">
        <v>26375</v>
      </c>
      <c r="N20" s="134">
        <v>27978</v>
      </c>
      <c r="O20" s="134">
        <v>26476</v>
      </c>
      <c r="P20" s="134">
        <v>24604</v>
      </c>
      <c r="Q20" s="134">
        <v>26545</v>
      </c>
      <c r="R20" s="3">
        <f t="shared" si="3"/>
        <v>316510</v>
      </c>
      <c r="T20" s="3"/>
      <c r="V20" s="136"/>
    </row>
    <row r="21" spans="1:22" x14ac:dyDescent="0.25">
      <c r="A21" s="139">
        <f t="shared" si="0"/>
        <v>14</v>
      </c>
      <c r="B21" s="135" t="s">
        <v>121</v>
      </c>
      <c r="C21" s="139" t="s">
        <v>7</v>
      </c>
      <c r="D21" s="139">
        <v>1</v>
      </c>
      <c r="F21" s="134">
        <v>4333</v>
      </c>
      <c r="G21" s="134">
        <v>3782</v>
      </c>
      <c r="H21" s="134">
        <v>3869</v>
      </c>
      <c r="I21" s="134">
        <v>3510</v>
      </c>
      <c r="J21" s="134">
        <v>2517</v>
      </c>
      <c r="K21" s="134">
        <v>3346</v>
      </c>
      <c r="L21" s="134">
        <v>4010</v>
      </c>
      <c r="M21" s="134">
        <v>4532</v>
      </c>
      <c r="N21" s="134">
        <v>4632</v>
      </c>
      <c r="O21" s="134">
        <v>3176</v>
      </c>
      <c r="P21" s="134">
        <v>3361</v>
      </c>
      <c r="Q21" s="134">
        <v>3048</v>
      </c>
      <c r="R21" s="3">
        <f t="shared" si="3"/>
        <v>44116</v>
      </c>
    </row>
    <row r="22" spans="1:22" x14ac:dyDescent="0.25">
      <c r="A22" s="139">
        <f t="shared" si="0"/>
        <v>15</v>
      </c>
      <c r="B22" s="135" t="s">
        <v>122</v>
      </c>
      <c r="C22" s="139" t="s">
        <v>7</v>
      </c>
      <c r="D22" s="139">
        <v>1</v>
      </c>
      <c r="F22" s="134">
        <v>1679</v>
      </c>
      <c r="G22" s="134">
        <v>1573</v>
      </c>
      <c r="H22" s="134">
        <v>2081</v>
      </c>
      <c r="I22" s="134">
        <v>2267</v>
      </c>
      <c r="J22" s="134">
        <v>1289</v>
      </c>
      <c r="K22" s="134">
        <v>2757</v>
      </c>
      <c r="L22" s="134">
        <v>4895</v>
      </c>
      <c r="M22" s="134">
        <v>4705</v>
      </c>
      <c r="N22" s="134">
        <v>3818</v>
      </c>
      <c r="O22" s="134">
        <v>1885</v>
      </c>
      <c r="P22" s="134">
        <v>1212</v>
      </c>
      <c r="Q22" s="134">
        <v>1375</v>
      </c>
      <c r="R22" s="3">
        <f t="shared" si="3"/>
        <v>29536</v>
      </c>
    </row>
    <row r="23" spans="1:22" x14ac:dyDescent="0.25">
      <c r="A23" s="139">
        <f t="shared" si="0"/>
        <v>16</v>
      </c>
      <c r="B23" s="135" t="s">
        <v>123</v>
      </c>
      <c r="C23" s="139" t="s">
        <v>7</v>
      </c>
      <c r="D23" s="139">
        <v>1</v>
      </c>
      <c r="F23" s="134">
        <v>1478</v>
      </c>
      <c r="G23" s="134">
        <v>1555</v>
      </c>
      <c r="H23" s="134">
        <v>923</v>
      </c>
      <c r="I23" s="134">
        <v>1497</v>
      </c>
      <c r="J23" s="134">
        <v>1040</v>
      </c>
      <c r="K23" s="134">
        <v>1878</v>
      </c>
      <c r="L23" s="134">
        <v>1934</v>
      </c>
      <c r="M23" s="134">
        <v>2541</v>
      </c>
      <c r="N23" s="134">
        <v>2038</v>
      </c>
      <c r="O23" s="134">
        <v>987</v>
      </c>
      <c r="P23" s="134">
        <v>1347</v>
      </c>
      <c r="Q23" s="134">
        <v>1085</v>
      </c>
      <c r="R23" s="3">
        <f t="shared" si="3"/>
        <v>18303</v>
      </c>
    </row>
    <row r="24" spans="1:22" x14ac:dyDescent="0.25">
      <c r="A24" s="139">
        <f t="shared" si="0"/>
        <v>17</v>
      </c>
      <c r="B24" s="135" t="s">
        <v>124</v>
      </c>
      <c r="C24" s="139" t="s">
        <v>7</v>
      </c>
      <c r="D24" s="139">
        <v>1</v>
      </c>
      <c r="F24" s="134">
        <v>2894</v>
      </c>
      <c r="G24" s="134">
        <v>2735</v>
      </c>
      <c r="H24" s="134">
        <v>1821</v>
      </c>
      <c r="I24" s="134">
        <v>2237</v>
      </c>
      <c r="J24" s="134">
        <v>699</v>
      </c>
      <c r="K24" s="134">
        <v>2761</v>
      </c>
      <c r="L24" s="134">
        <v>5697</v>
      </c>
      <c r="M24" s="134">
        <v>5517</v>
      </c>
      <c r="N24" s="134">
        <v>5304</v>
      </c>
      <c r="O24" s="134">
        <v>1943</v>
      </c>
      <c r="P24" s="134">
        <v>2983</v>
      </c>
      <c r="Q24" s="134">
        <v>2985</v>
      </c>
      <c r="R24" s="3">
        <f t="shared" si="3"/>
        <v>37576</v>
      </c>
    </row>
    <row r="25" spans="1:22" x14ac:dyDescent="0.25">
      <c r="A25" s="139">
        <f t="shared" si="0"/>
        <v>18</v>
      </c>
      <c r="B25" s="135" t="s">
        <v>1</v>
      </c>
      <c r="C25" s="139" t="s">
        <v>7</v>
      </c>
      <c r="D25" s="139"/>
      <c r="F25" s="91">
        <f>SUM(F18:F24)</f>
        <v>38189</v>
      </c>
      <c r="G25" s="91">
        <f t="shared" ref="G25:Q25" si="4">SUM(G18:G24)</f>
        <v>37014</v>
      </c>
      <c r="H25" s="91">
        <f t="shared" si="4"/>
        <v>36082</v>
      </c>
      <c r="I25" s="91">
        <f t="shared" si="4"/>
        <v>37675</v>
      </c>
      <c r="J25" s="91">
        <f t="shared" si="4"/>
        <v>30296</v>
      </c>
      <c r="K25" s="91">
        <f t="shared" si="4"/>
        <v>37158</v>
      </c>
      <c r="L25" s="91">
        <f t="shared" si="4"/>
        <v>43147</v>
      </c>
      <c r="M25" s="91">
        <f t="shared" si="4"/>
        <v>44393</v>
      </c>
      <c r="N25" s="91">
        <f t="shared" si="4"/>
        <v>44345</v>
      </c>
      <c r="O25" s="91">
        <f t="shared" si="4"/>
        <v>34918</v>
      </c>
      <c r="P25" s="91">
        <f t="shared" si="4"/>
        <v>33988</v>
      </c>
      <c r="Q25" s="91">
        <f t="shared" si="4"/>
        <v>35764</v>
      </c>
      <c r="R25" s="3">
        <f t="shared" si="3"/>
        <v>452969</v>
      </c>
    </row>
    <row r="26" spans="1:22" x14ac:dyDescent="0.25">
      <c r="A26" s="139">
        <f t="shared" si="0"/>
        <v>19</v>
      </c>
      <c r="B26" s="135" t="s">
        <v>156</v>
      </c>
      <c r="C26" s="139"/>
      <c r="D26" s="139"/>
      <c r="F26" s="3"/>
      <c r="G26" s="3"/>
      <c r="H26" s="3"/>
      <c r="I26" s="3"/>
      <c r="J26" s="3"/>
      <c r="K26" s="3"/>
      <c r="L26" s="3"/>
      <c r="M26" s="3"/>
      <c r="N26" s="3"/>
      <c r="O26" s="3"/>
      <c r="P26" s="3"/>
      <c r="Q26" s="3"/>
      <c r="R26" s="3"/>
    </row>
    <row r="27" spans="1:22" x14ac:dyDescent="0.25">
      <c r="A27" s="139">
        <f t="shared" si="0"/>
        <v>20</v>
      </c>
      <c r="B27" s="135" t="s">
        <v>157</v>
      </c>
      <c r="C27" s="139"/>
      <c r="D27" s="139"/>
      <c r="F27" s="3">
        <f>SUM(F25:F26)</f>
        <v>38189</v>
      </c>
      <c r="G27" s="3">
        <f t="shared" ref="G27:Q27" si="5">SUM(G25:G26)</f>
        <v>37014</v>
      </c>
      <c r="H27" s="3">
        <f t="shared" si="5"/>
        <v>36082</v>
      </c>
      <c r="I27" s="3">
        <f t="shared" si="5"/>
        <v>37675</v>
      </c>
      <c r="J27" s="3">
        <f t="shared" si="5"/>
        <v>30296</v>
      </c>
      <c r="K27" s="3">
        <f t="shared" si="5"/>
        <v>37158</v>
      </c>
      <c r="L27" s="3">
        <f t="shared" si="5"/>
        <v>43147</v>
      </c>
      <c r="M27" s="3">
        <f t="shared" si="5"/>
        <v>44393</v>
      </c>
      <c r="N27" s="3">
        <f t="shared" si="5"/>
        <v>44345</v>
      </c>
      <c r="O27" s="3">
        <f t="shared" si="5"/>
        <v>34918</v>
      </c>
      <c r="P27" s="3">
        <f t="shared" si="5"/>
        <v>33988</v>
      </c>
      <c r="Q27" s="3">
        <f t="shared" si="5"/>
        <v>35764</v>
      </c>
      <c r="R27" s="3">
        <f>SUM(F27:Q27)</f>
        <v>452969</v>
      </c>
    </row>
    <row r="28" spans="1:22" x14ac:dyDescent="0.25">
      <c r="A28" s="139">
        <f t="shared" si="0"/>
        <v>21</v>
      </c>
      <c r="C28" s="139"/>
      <c r="D28" s="139"/>
      <c r="F28" s="3"/>
      <c r="G28" s="3"/>
      <c r="H28" s="3"/>
      <c r="I28" s="3"/>
      <c r="J28" s="3"/>
      <c r="K28" s="3"/>
      <c r="L28" s="3"/>
      <c r="M28" s="3"/>
      <c r="N28" s="3"/>
      <c r="O28" s="3"/>
      <c r="P28" s="3"/>
      <c r="Q28" s="3"/>
      <c r="R28" s="3"/>
    </row>
    <row r="29" spans="1:22" x14ac:dyDescent="0.25">
      <c r="A29" s="139">
        <f t="shared" si="0"/>
        <v>22</v>
      </c>
      <c r="B29" s="135" t="s">
        <v>164</v>
      </c>
      <c r="C29" s="139"/>
      <c r="D29" s="139"/>
      <c r="F29" s="3"/>
      <c r="G29" s="3"/>
      <c r="H29" s="3"/>
      <c r="I29" s="3"/>
      <c r="J29" s="3"/>
      <c r="K29" s="3"/>
      <c r="L29" s="3"/>
      <c r="M29" s="3"/>
      <c r="N29" s="3"/>
      <c r="O29" s="3"/>
      <c r="P29" s="3"/>
      <c r="Q29" s="3"/>
      <c r="R29" s="3"/>
    </row>
    <row r="30" spans="1:22" x14ac:dyDescent="0.25">
      <c r="A30" s="139">
        <f t="shared" si="0"/>
        <v>23</v>
      </c>
      <c r="B30" s="135" t="s">
        <v>162</v>
      </c>
      <c r="C30" s="139" t="s">
        <v>7</v>
      </c>
      <c r="D30" s="141">
        <f>+E30/E$32</f>
        <v>0.22988505747126436</v>
      </c>
      <c r="E30" s="3">
        <v>2000</v>
      </c>
      <c r="F30" s="3">
        <f>+$D30*F$20</f>
        <v>6187.5862068965516</v>
      </c>
      <c r="G30" s="3">
        <f t="shared" ref="G30:Q30" si="6">+$D30*G$20</f>
        <v>6090.5747126436781</v>
      </c>
      <c r="H30" s="3">
        <f t="shared" si="6"/>
        <v>6224.5977011494251</v>
      </c>
      <c r="I30" s="3">
        <f t="shared" si="6"/>
        <v>6394.9425287356316</v>
      </c>
      <c r="J30" s="3">
        <f t="shared" si="6"/>
        <v>5609.6551724137935</v>
      </c>
      <c r="K30" s="3">
        <f t="shared" si="6"/>
        <v>5955.4022988505749</v>
      </c>
      <c r="L30" s="3">
        <f>+$D30*L$20</f>
        <v>5958.3908045977014</v>
      </c>
      <c r="M30" s="3">
        <f t="shared" si="6"/>
        <v>6063.2183908045972</v>
      </c>
      <c r="N30" s="3">
        <f t="shared" si="6"/>
        <v>6431.7241379310344</v>
      </c>
      <c r="O30" s="3">
        <f t="shared" si="6"/>
        <v>6086.4367816091954</v>
      </c>
      <c r="P30" s="3">
        <f t="shared" si="6"/>
        <v>5656.0919540229888</v>
      </c>
      <c r="Q30" s="3">
        <f t="shared" si="6"/>
        <v>6102.2988505747126</v>
      </c>
      <c r="R30" s="3">
        <f>SUM(F30:Q30)</f>
        <v>72760.919540229894</v>
      </c>
    </row>
    <row r="31" spans="1:22" x14ac:dyDescent="0.25">
      <c r="A31" s="139">
        <f t="shared" si="0"/>
        <v>24</v>
      </c>
      <c r="B31" s="135" t="s">
        <v>163</v>
      </c>
      <c r="C31" s="139" t="s">
        <v>7</v>
      </c>
      <c r="D31" s="141">
        <f>+E31/E$32</f>
        <v>0.77011494252873558</v>
      </c>
      <c r="E31" s="3">
        <v>6700</v>
      </c>
      <c r="F31" s="3">
        <f>+$D31*F$20</f>
        <v>20728.413793103446</v>
      </c>
      <c r="G31" s="3">
        <f t="shared" ref="G31:Q31" si="7">+$D31*G$20</f>
        <v>20403.42528735632</v>
      </c>
      <c r="H31" s="3">
        <f t="shared" si="7"/>
        <v>20852.402298850575</v>
      </c>
      <c r="I31" s="3">
        <f t="shared" si="7"/>
        <v>21423.057471264365</v>
      </c>
      <c r="J31" s="3">
        <f t="shared" si="7"/>
        <v>18792.344827586207</v>
      </c>
      <c r="K31" s="3">
        <f t="shared" si="7"/>
        <v>19950.597701149425</v>
      </c>
      <c r="L31" s="3">
        <f>+$D31*L$20</f>
        <v>19960.609195402296</v>
      </c>
      <c r="M31" s="3">
        <f t="shared" si="7"/>
        <v>20311.781609195401</v>
      </c>
      <c r="N31" s="3">
        <f t="shared" si="7"/>
        <v>21546.275862068964</v>
      </c>
      <c r="O31" s="3">
        <f t="shared" si="7"/>
        <v>20389.563218390802</v>
      </c>
      <c r="P31" s="3">
        <f t="shared" si="7"/>
        <v>18947.908045977008</v>
      </c>
      <c r="Q31" s="3">
        <f t="shared" si="7"/>
        <v>20442.701149425287</v>
      </c>
      <c r="R31" s="3">
        <f>SUM(F31:Q31)</f>
        <v>243749.08045977008</v>
      </c>
    </row>
    <row r="32" spans="1:22" x14ac:dyDescent="0.25">
      <c r="A32" s="139">
        <f t="shared" si="0"/>
        <v>25</v>
      </c>
      <c r="B32" s="135" t="s">
        <v>1</v>
      </c>
      <c r="C32" s="139" t="s">
        <v>7</v>
      </c>
      <c r="E32" s="3">
        <f>SUM(E30:E31)</f>
        <v>8700</v>
      </c>
      <c r="F32" s="3">
        <f>SUM(F30:F31)</f>
        <v>26915.999999999996</v>
      </c>
      <c r="G32" s="3">
        <f t="shared" ref="G32:Q32" si="8">SUM(G30:G31)</f>
        <v>26494</v>
      </c>
      <c r="H32" s="3">
        <f t="shared" si="8"/>
        <v>27077</v>
      </c>
      <c r="I32" s="3">
        <f t="shared" si="8"/>
        <v>27817.999999999996</v>
      </c>
      <c r="J32" s="3">
        <f t="shared" si="8"/>
        <v>24402</v>
      </c>
      <c r="K32" s="3">
        <f t="shared" si="8"/>
        <v>25906</v>
      </c>
      <c r="L32" s="3">
        <f>SUM(L30:L31)</f>
        <v>25918.999999999996</v>
      </c>
      <c r="M32" s="3">
        <f t="shared" si="8"/>
        <v>26375</v>
      </c>
      <c r="N32" s="3">
        <f t="shared" si="8"/>
        <v>27978</v>
      </c>
      <c r="O32" s="3">
        <f t="shared" si="8"/>
        <v>26475.999999999996</v>
      </c>
      <c r="P32" s="3">
        <f t="shared" si="8"/>
        <v>24603.999999999996</v>
      </c>
      <c r="Q32" s="3">
        <f t="shared" si="8"/>
        <v>26545</v>
      </c>
      <c r="R32" s="3">
        <f>SUM(F32:Q32)</f>
        <v>316510</v>
      </c>
    </row>
    <row r="33" spans="1:22" x14ac:dyDescent="0.25">
      <c r="A33" s="139">
        <f t="shared" si="0"/>
        <v>26</v>
      </c>
      <c r="C33" s="139"/>
      <c r="F33" s="3"/>
      <c r="G33" s="3"/>
      <c r="H33" s="3"/>
      <c r="I33" s="3"/>
      <c r="J33" s="3"/>
      <c r="K33" s="3"/>
      <c r="L33" s="3"/>
      <c r="M33" s="3"/>
      <c r="N33" s="3"/>
      <c r="O33" s="3"/>
      <c r="P33" s="3"/>
      <c r="Q33" s="3"/>
      <c r="R33" s="3"/>
    </row>
    <row r="34" spans="1:22" x14ac:dyDescent="0.25">
      <c r="A34" s="139">
        <f t="shared" si="0"/>
        <v>27</v>
      </c>
      <c r="B34" s="114" t="s">
        <v>129</v>
      </c>
      <c r="C34" s="139"/>
      <c r="F34" s="3"/>
      <c r="G34" s="3"/>
      <c r="H34" s="3"/>
      <c r="I34" s="3"/>
      <c r="J34" s="3"/>
      <c r="K34" s="3"/>
      <c r="L34" s="3"/>
      <c r="M34" s="3"/>
      <c r="N34" s="3"/>
      <c r="O34" s="3"/>
      <c r="P34" s="3"/>
      <c r="Q34" s="3"/>
      <c r="R34" s="3"/>
    </row>
    <row r="35" spans="1:22" x14ac:dyDescent="0.25">
      <c r="A35" s="139">
        <f t="shared" si="0"/>
        <v>28</v>
      </c>
      <c r="B35" s="135" t="s">
        <v>130</v>
      </c>
      <c r="C35" s="139" t="s">
        <v>7</v>
      </c>
      <c r="D35" s="135">
        <v>1</v>
      </c>
      <c r="E35" s="139" t="s">
        <v>154</v>
      </c>
      <c r="F35" s="134">
        <v>2413</v>
      </c>
      <c r="G35" s="134">
        <v>2520</v>
      </c>
      <c r="H35" s="134">
        <v>4366</v>
      </c>
      <c r="I35" s="134">
        <v>6999</v>
      </c>
      <c r="J35" s="134">
        <v>4297</v>
      </c>
      <c r="K35" s="134">
        <v>13816</v>
      </c>
      <c r="L35" s="134">
        <v>22107</v>
      </c>
      <c r="M35" s="134">
        <v>22359</v>
      </c>
      <c r="N35" s="134">
        <v>15788</v>
      </c>
      <c r="O35" s="134">
        <v>4328</v>
      </c>
      <c r="P35" s="134">
        <v>2640</v>
      </c>
      <c r="Q35" s="134">
        <v>2936</v>
      </c>
      <c r="R35" s="3">
        <f t="shared" ref="R35:R59" si="9">SUM(F35:Q35)</f>
        <v>104569</v>
      </c>
      <c r="T35" s="3"/>
      <c r="V35" s="136"/>
    </row>
    <row r="36" spans="1:22" x14ac:dyDescent="0.25">
      <c r="A36" s="139">
        <f t="shared" si="0"/>
        <v>29</v>
      </c>
      <c r="B36" s="135" t="s">
        <v>131</v>
      </c>
      <c r="C36" s="139" t="s">
        <v>7</v>
      </c>
      <c r="D36" s="135">
        <v>1</v>
      </c>
      <c r="E36" s="139" t="s">
        <v>154</v>
      </c>
      <c r="F36" s="134">
        <v>4348</v>
      </c>
      <c r="G36" s="134">
        <v>3396</v>
      </c>
      <c r="H36" s="134">
        <v>6000</v>
      </c>
      <c r="I36" s="134">
        <v>2566</v>
      </c>
      <c r="J36" s="134">
        <v>2586</v>
      </c>
      <c r="K36" s="134">
        <v>4005</v>
      </c>
      <c r="L36" s="134">
        <v>6483</v>
      </c>
      <c r="M36" s="134">
        <v>7880</v>
      </c>
      <c r="N36" s="134">
        <v>7053</v>
      </c>
      <c r="O36" s="134">
        <v>3603</v>
      </c>
      <c r="P36" s="134">
        <v>3713</v>
      </c>
      <c r="Q36" s="134">
        <v>3558</v>
      </c>
      <c r="R36" s="3">
        <f t="shared" si="9"/>
        <v>55191</v>
      </c>
      <c r="T36" s="3"/>
      <c r="V36" s="136"/>
    </row>
    <row r="37" spans="1:22" x14ac:dyDescent="0.25">
      <c r="A37" s="139">
        <f t="shared" si="0"/>
        <v>30</v>
      </c>
      <c r="B37" s="135" t="s">
        <v>132</v>
      </c>
      <c r="C37" s="139" t="s">
        <v>7</v>
      </c>
      <c r="D37" s="135">
        <v>1</v>
      </c>
      <c r="E37" s="139" t="s">
        <v>154</v>
      </c>
      <c r="F37" s="134">
        <v>1192</v>
      </c>
      <c r="G37" s="134">
        <v>1213</v>
      </c>
      <c r="H37" s="134">
        <v>2929</v>
      </c>
      <c r="I37" s="134">
        <v>2722</v>
      </c>
      <c r="J37" s="134">
        <v>1191</v>
      </c>
      <c r="K37" s="134">
        <v>3412</v>
      </c>
      <c r="L37" s="134">
        <v>5796</v>
      </c>
      <c r="M37" s="134">
        <v>9216</v>
      </c>
      <c r="N37" s="134">
        <v>6686</v>
      </c>
      <c r="O37" s="134">
        <v>1273</v>
      </c>
      <c r="P37" s="134">
        <v>894</v>
      </c>
      <c r="Q37" s="134">
        <v>1128</v>
      </c>
      <c r="R37" s="3">
        <f t="shared" si="9"/>
        <v>37652</v>
      </c>
      <c r="T37" s="3"/>
      <c r="V37" s="136"/>
    </row>
    <row r="38" spans="1:22" x14ac:dyDescent="0.25">
      <c r="A38" s="139">
        <f t="shared" si="0"/>
        <v>31</v>
      </c>
      <c r="B38" s="135" t="s">
        <v>133</v>
      </c>
      <c r="C38" s="139" t="s">
        <v>7</v>
      </c>
      <c r="D38" s="135">
        <v>1</v>
      </c>
      <c r="E38" s="139" t="s">
        <v>154</v>
      </c>
      <c r="F38" s="134">
        <v>16378</v>
      </c>
      <c r="G38" s="134">
        <v>13659</v>
      </c>
      <c r="H38" s="134">
        <v>12446</v>
      </c>
      <c r="I38" s="134">
        <v>15624</v>
      </c>
      <c r="J38" s="134">
        <v>13036</v>
      </c>
      <c r="K38" s="134">
        <v>13687</v>
      </c>
      <c r="L38" s="134">
        <v>21766</v>
      </c>
      <c r="M38" s="134">
        <v>29889</v>
      </c>
      <c r="N38" s="134">
        <v>25042</v>
      </c>
      <c r="O38" s="134">
        <v>11282</v>
      </c>
      <c r="P38" s="134">
        <v>14024</v>
      </c>
      <c r="Q38" s="134">
        <v>13094</v>
      </c>
      <c r="R38" s="3">
        <f t="shared" si="9"/>
        <v>199927</v>
      </c>
      <c r="T38" s="3"/>
      <c r="V38" s="136"/>
    </row>
    <row r="39" spans="1:22" x14ac:dyDescent="0.25">
      <c r="A39" s="139">
        <f t="shared" si="0"/>
        <v>32</v>
      </c>
      <c r="B39" s="135" t="s">
        <v>134</v>
      </c>
      <c r="C39" s="139" t="s">
        <v>7</v>
      </c>
      <c r="D39" s="135">
        <v>1</v>
      </c>
      <c r="E39" s="139" t="s">
        <v>154</v>
      </c>
      <c r="F39" s="134">
        <v>9964</v>
      </c>
      <c r="G39" s="134">
        <v>9141</v>
      </c>
      <c r="H39" s="134">
        <v>4614</v>
      </c>
      <c r="I39" s="134">
        <v>4017</v>
      </c>
      <c r="J39" s="134">
        <v>4091</v>
      </c>
      <c r="K39" s="134">
        <v>8109</v>
      </c>
      <c r="L39" s="134">
        <v>10075</v>
      </c>
      <c r="M39" s="134">
        <v>10651</v>
      </c>
      <c r="N39" s="134">
        <v>8930</v>
      </c>
      <c r="O39" s="134">
        <v>7117</v>
      </c>
      <c r="P39" s="134">
        <v>5401</v>
      </c>
      <c r="Q39" s="134">
        <v>6810</v>
      </c>
      <c r="R39" s="3">
        <f t="shared" si="9"/>
        <v>88920</v>
      </c>
      <c r="T39" s="3"/>
      <c r="V39" s="136"/>
    </row>
    <row r="40" spans="1:22" x14ac:dyDescent="0.25">
      <c r="A40" s="139">
        <f t="shared" si="0"/>
        <v>33</v>
      </c>
      <c r="B40" s="135" t="s">
        <v>135</v>
      </c>
      <c r="C40" s="139" t="s">
        <v>7</v>
      </c>
      <c r="D40" s="135">
        <v>1</v>
      </c>
      <c r="E40" s="139" t="s">
        <v>154</v>
      </c>
      <c r="F40" s="134">
        <v>14030</v>
      </c>
      <c r="G40" s="134">
        <v>13794</v>
      </c>
      <c r="H40" s="134">
        <v>9319</v>
      </c>
      <c r="I40" s="134">
        <v>17492</v>
      </c>
      <c r="J40" s="134">
        <v>16341</v>
      </c>
      <c r="K40" s="134">
        <v>21179</v>
      </c>
      <c r="L40" s="134">
        <v>24954</v>
      </c>
      <c r="M40" s="134">
        <v>26105</v>
      </c>
      <c r="N40" s="134">
        <v>21587</v>
      </c>
      <c r="O40" s="134">
        <v>18025</v>
      </c>
      <c r="P40" s="134">
        <v>10102</v>
      </c>
      <c r="Q40" s="134">
        <v>13050</v>
      </c>
      <c r="R40" s="3">
        <f t="shared" si="9"/>
        <v>205978</v>
      </c>
      <c r="T40" s="3"/>
      <c r="V40" s="136"/>
    </row>
    <row r="41" spans="1:22" x14ac:dyDescent="0.25">
      <c r="A41" s="139">
        <f t="shared" si="0"/>
        <v>34</v>
      </c>
      <c r="B41" s="135" t="s">
        <v>136</v>
      </c>
      <c r="C41" s="139" t="s">
        <v>7</v>
      </c>
      <c r="D41" s="135">
        <v>1</v>
      </c>
      <c r="E41" s="139" t="s">
        <v>154</v>
      </c>
      <c r="F41" s="134">
        <v>1443</v>
      </c>
      <c r="G41" s="134">
        <v>1421</v>
      </c>
      <c r="H41" s="134">
        <v>4519</v>
      </c>
      <c r="I41" s="134">
        <v>6307</v>
      </c>
      <c r="J41" s="134">
        <v>1983</v>
      </c>
      <c r="K41" s="134">
        <v>7318</v>
      </c>
      <c r="L41" s="134">
        <v>13543</v>
      </c>
      <c r="M41" s="134">
        <v>13396</v>
      </c>
      <c r="N41" s="134">
        <v>9413</v>
      </c>
      <c r="O41" s="134">
        <v>3689</v>
      </c>
      <c r="P41" s="134">
        <v>1318</v>
      </c>
      <c r="Q41" s="134">
        <v>1244</v>
      </c>
      <c r="R41" s="3">
        <f t="shared" si="9"/>
        <v>65594</v>
      </c>
      <c r="T41" s="3"/>
      <c r="V41" s="136"/>
    </row>
    <row r="42" spans="1:22" x14ac:dyDescent="0.25">
      <c r="A42" s="139">
        <f t="shared" si="0"/>
        <v>35</v>
      </c>
      <c r="B42" s="135" t="s">
        <v>137</v>
      </c>
      <c r="C42" s="139" t="s">
        <v>7</v>
      </c>
      <c r="D42" s="135">
        <v>1</v>
      </c>
      <c r="E42" s="139" t="s">
        <v>154</v>
      </c>
      <c r="F42" s="134">
        <v>6137</v>
      </c>
      <c r="G42" s="134">
        <v>6610</v>
      </c>
      <c r="H42" s="134">
        <v>3551</v>
      </c>
      <c r="I42" s="134">
        <v>4424</v>
      </c>
      <c r="J42" s="134">
        <v>3860</v>
      </c>
      <c r="K42" s="134">
        <v>6320</v>
      </c>
      <c r="L42" s="134">
        <v>7716</v>
      </c>
      <c r="M42" s="134">
        <v>8828</v>
      </c>
      <c r="N42" s="134">
        <v>7188</v>
      </c>
      <c r="O42" s="134">
        <v>5396</v>
      </c>
      <c r="P42" s="134">
        <v>6504</v>
      </c>
      <c r="Q42" s="134">
        <v>7543</v>
      </c>
      <c r="R42" s="3">
        <f t="shared" si="9"/>
        <v>74077</v>
      </c>
      <c r="T42" s="3"/>
      <c r="V42" s="136"/>
    </row>
    <row r="43" spans="1:22" x14ac:dyDescent="0.25">
      <c r="A43" s="139">
        <f t="shared" si="0"/>
        <v>36</v>
      </c>
      <c r="B43" s="135" t="s">
        <v>138</v>
      </c>
      <c r="C43" s="139" t="s">
        <v>7</v>
      </c>
      <c r="D43" s="135">
        <v>1</v>
      </c>
      <c r="E43" s="139" t="s">
        <v>154</v>
      </c>
      <c r="F43" s="134">
        <v>1866</v>
      </c>
      <c r="G43" s="134">
        <v>1878</v>
      </c>
      <c r="H43" s="134">
        <v>1302</v>
      </c>
      <c r="I43" s="134">
        <v>1742</v>
      </c>
      <c r="J43" s="134">
        <v>1312</v>
      </c>
      <c r="K43" s="134">
        <v>2498</v>
      </c>
      <c r="L43" s="134">
        <v>4724</v>
      </c>
      <c r="M43" s="134">
        <v>8537</v>
      </c>
      <c r="N43" s="134">
        <v>6728</v>
      </c>
      <c r="O43" s="134">
        <v>1735</v>
      </c>
      <c r="P43" s="134">
        <v>1400</v>
      </c>
      <c r="Q43" s="134">
        <v>1741</v>
      </c>
      <c r="R43" s="3">
        <f t="shared" si="9"/>
        <v>35463</v>
      </c>
      <c r="T43" s="3"/>
      <c r="V43" s="136"/>
    </row>
    <row r="44" spans="1:22" x14ac:dyDescent="0.25">
      <c r="A44" s="139">
        <f t="shared" si="0"/>
        <v>37</v>
      </c>
      <c r="B44" s="135" t="s">
        <v>139</v>
      </c>
      <c r="C44" s="139" t="s">
        <v>7</v>
      </c>
      <c r="D44" s="135">
        <v>1</v>
      </c>
      <c r="E44" s="139" t="s">
        <v>154</v>
      </c>
      <c r="F44" s="134">
        <v>2442</v>
      </c>
      <c r="G44" s="134">
        <v>2519</v>
      </c>
      <c r="H44" s="134">
        <v>1243</v>
      </c>
      <c r="I44" s="134">
        <v>1935</v>
      </c>
      <c r="J44" s="134">
        <v>1272</v>
      </c>
      <c r="K44" s="134">
        <v>2051</v>
      </c>
      <c r="L44" s="134">
        <v>3462</v>
      </c>
      <c r="M44" s="134">
        <v>4321</v>
      </c>
      <c r="N44" s="134">
        <v>2778</v>
      </c>
      <c r="O44" s="134">
        <v>1649</v>
      </c>
      <c r="P44" s="134">
        <v>1676</v>
      </c>
      <c r="Q44" s="134">
        <v>2123</v>
      </c>
      <c r="R44" s="3">
        <f t="shared" si="9"/>
        <v>27471</v>
      </c>
      <c r="T44" s="3"/>
      <c r="V44" s="136"/>
    </row>
    <row r="45" spans="1:22" x14ac:dyDescent="0.25">
      <c r="A45" s="139">
        <f t="shared" si="0"/>
        <v>38</v>
      </c>
      <c r="B45" s="135" t="s">
        <v>140</v>
      </c>
      <c r="C45" s="139" t="s">
        <v>7</v>
      </c>
      <c r="D45" s="135">
        <v>1</v>
      </c>
      <c r="E45" s="139" t="s">
        <v>154</v>
      </c>
      <c r="F45" s="134">
        <v>21088</v>
      </c>
      <c r="G45" s="134">
        <v>28953</v>
      </c>
      <c r="H45" s="134">
        <v>15461</v>
      </c>
      <c r="I45" s="134">
        <v>27797</v>
      </c>
      <c r="J45" s="134">
        <v>20553</v>
      </c>
      <c r="K45" s="134">
        <v>18616</v>
      </c>
      <c r="L45" s="134">
        <v>22731</v>
      </c>
      <c r="M45" s="134">
        <v>24913</v>
      </c>
      <c r="N45" s="134">
        <v>21066</v>
      </c>
      <c r="O45" s="134">
        <v>17302</v>
      </c>
      <c r="P45" s="134">
        <v>13662</v>
      </c>
      <c r="Q45" s="134">
        <v>18367</v>
      </c>
      <c r="R45" s="3">
        <f t="shared" si="9"/>
        <v>250509</v>
      </c>
      <c r="T45" s="3"/>
      <c r="V45" s="136"/>
    </row>
    <row r="46" spans="1:22" x14ac:dyDescent="0.25">
      <c r="A46" s="139">
        <f t="shared" si="0"/>
        <v>39</v>
      </c>
      <c r="B46" s="135" t="s">
        <v>452</v>
      </c>
      <c r="C46" s="139" t="s">
        <v>7</v>
      </c>
      <c r="D46" s="135">
        <v>3</v>
      </c>
      <c r="E46" s="139" t="s">
        <v>154</v>
      </c>
      <c r="F46" s="134">
        <v>13827</v>
      </c>
      <c r="G46" s="134">
        <v>13757</v>
      </c>
      <c r="H46" s="134">
        <v>6716</v>
      </c>
      <c r="I46" s="134">
        <v>10440</v>
      </c>
      <c r="J46" s="134">
        <v>10404</v>
      </c>
      <c r="K46" s="134">
        <v>13488</v>
      </c>
      <c r="L46" s="134">
        <v>18141</v>
      </c>
      <c r="M46" s="134">
        <v>18914</v>
      </c>
      <c r="N46" s="134">
        <v>16202</v>
      </c>
      <c r="O46" s="134">
        <v>14315</v>
      </c>
      <c r="P46" s="134">
        <v>11293</v>
      </c>
      <c r="Q46" s="134">
        <v>15087</v>
      </c>
      <c r="R46" s="3">
        <f t="shared" si="9"/>
        <v>162584</v>
      </c>
      <c r="T46" s="3"/>
      <c r="V46" s="136"/>
    </row>
    <row r="47" spans="1:22" x14ac:dyDescent="0.25">
      <c r="A47" s="139">
        <f t="shared" si="0"/>
        <v>40</v>
      </c>
      <c r="B47" s="135" t="s">
        <v>141</v>
      </c>
      <c r="C47" s="139" t="s">
        <v>7</v>
      </c>
      <c r="D47" s="135">
        <v>1</v>
      </c>
      <c r="E47" s="139" t="s">
        <v>155</v>
      </c>
      <c r="F47" s="134">
        <v>16</v>
      </c>
      <c r="G47" s="134">
        <v>0</v>
      </c>
      <c r="H47" s="134">
        <v>0</v>
      </c>
      <c r="I47" s="134">
        <v>0</v>
      </c>
      <c r="J47" s="134"/>
      <c r="K47" s="134"/>
      <c r="L47" s="134"/>
      <c r="M47" s="134"/>
      <c r="N47" s="134"/>
      <c r="O47" s="134"/>
      <c r="P47" s="134"/>
      <c r="Q47" s="134"/>
      <c r="R47" s="3">
        <f t="shared" si="9"/>
        <v>16</v>
      </c>
      <c r="T47" s="3"/>
      <c r="V47" s="136"/>
    </row>
    <row r="48" spans="1:22" x14ac:dyDescent="0.25">
      <c r="A48" s="139">
        <f t="shared" si="0"/>
        <v>41</v>
      </c>
      <c r="B48" s="135" t="s">
        <v>142</v>
      </c>
      <c r="C48" s="139" t="s">
        <v>7</v>
      </c>
      <c r="D48" s="135">
        <v>1</v>
      </c>
      <c r="E48" s="139" t="s">
        <v>154</v>
      </c>
      <c r="F48" s="134">
        <v>8362</v>
      </c>
      <c r="G48" s="134">
        <v>8656</v>
      </c>
      <c r="H48" s="134">
        <v>4520</v>
      </c>
      <c r="I48" s="134">
        <v>6002</v>
      </c>
      <c r="J48" s="134">
        <v>5176</v>
      </c>
      <c r="K48" s="134">
        <v>7766</v>
      </c>
      <c r="L48" s="134">
        <v>10122</v>
      </c>
      <c r="M48" s="134">
        <v>11013</v>
      </c>
      <c r="N48" s="134">
        <v>8925</v>
      </c>
      <c r="O48" s="134">
        <v>6909</v>
      </c>
      <c r="P48" s="134">
        <v>5941</v>
      </c>
      <c r="Q48" s="134">
        <v>7643</v>
      </c>
      <c r="R48" s="3">
        <f t="shared" si="9"/>
        <v>91035</v>
      </c>
      <c r="T48" s="3"/>
      <c r="V48" s="136"/>
    </row>
    <row r="49" spans="1:22" x14ac:dyDescent="0.25">
      <c r="A49" s="139">
        <f t="shared" si="0"/>
        <v>42</v>
      </c>
      <c r="B49" s="135" t="s">
        <v>143</v>
      </c>
      <c r="C49" s="139" t="s">
        <v>7</v>
      </c>
      <c r="D49" s="135">
        <v>1</v>
      </c>
      <c r="E49" s="139" t="s">
        <v>154</v>
      </c>
      <c r="F49" s="134">
        <v>1448</v>
      </c>
      <c r="G49" s="134">
        <v>1442</v>
      </c>
      <c r="H49" s="134">
        <v>1494</v>
      </c>
      <c r="I49" s="134">
        <v>1636</v>
      </c>
      <c r="J49" s="134">
        <v>1168</v>
      </c>
      <c r="K49" s="134">
        <v>2576</v>
      </c>
      <c r="L49" s="134">
        <v>3682</v>
      </c>
      <c r="M49" s="134">
        <v>4573</v>
      </c>
      <c r="N49" s="134">
        <v>4419</v>
      </c>
      <c r="O49" s="134">
        <v>2239</v>
      </c>
      <c r="P49" s="134">
        <v>1136</v>
      </c>
      <c r="Q49" s="134">
        <v>2166</v>
      </c>
      <c r="R49" s="3">
        <f t="shared" si="9"/>
        <v>27979</v>
      </c>
      <c r="T49" s="3"/>
      <c r="V49" s="136"/>
    </row>
    <row r="50" spans="1:22" x14ac:dyDescent="0.25">
      <c r="A50" s="139">
        <f t="shared" si="0"/>
        <v>43</v>
      </c>
      <c r="B50" s="135" t="s">
        <v>144</v>
      </c>
      <c r="C50" s="139" t="s">
        <v>7</v>
      </c>
      <c r="D50" s="135">
        <v>3</v>
      </c>
      <c r="E50" s="139" t="s">
        <v>154</v>
      </c>
      <c r="F50" s="134"/>
      <c r="G50" s="134"/>
      <c r="H50" s="134"/>
      <c r="I50" s="134"/>
      <c r="J50" s="134"/>
      <c r="K50" s="134"/>
      <c r="L50" s="134"/>
      <c r="M50" s="134"/>
      <c r="N50" s="134"/>
      <c r="O50" s="134"/>
      <c r="P50" s="134"/>
      <c r="Q50" s="134"/>
      <c r="R50" s="3">
        <f t="shared" si="9"/>
        <v>0</v>
      </c>
      <c r="T50" s="3"/>
      <c r="V50" s="136"/>
    </row>
    <row r="51" spans="1:22" x14ac:dyDescent="0.25">
      <c r="A51" s="139">
        <f t="shared" si="0"/>
        <v>44</v>
      </c>
      <c r="B51" s="135" t="s">
        <v>145</v>
      </c>
      <c r="C51" s="139" t="s">
        <v>7</v>
      </c>
      <c r="D51" s="135">
        <v>1</v>
      </c>
      <c r="E51" s="139" t="s">
        <v>154</v>
      </c>
      <c r="F51" s="134">
        <v>18257</v>
      </c>
      <c r="G51" s="134">
        <v>9607</v>
      </c>
      <c r="H51" s="134">
        <v>4973</v>
      </c>
      <c r="I51" s="134">
        <v>6302</v>
      </c>
      <c r="J51" s="134">
        <v>10060</v>
      </c>
      <c r="K51" s="134">
        <v>17561</v>
      </c>
      <c r="L51" s="134">
        <v>22048</v>
      </c>
      <c r="M51" s="134">
        <v>24705</v>
      </c>
      <c r="N51" s="134">
        <v>21805</v>
      </c>
      <c r="O51" s="134">
        <v>15487</v>
      </c>
      <c r="P51" s="134">
        <v>15908</v>
      </c>
      <c r="Q51" s="134">
        <v>20574</v>
      </c>
      <c r="R51" s="3">
        <f t="shared" si="9"/>
        <v>187287</v>
      </c>
      <c r="T51" s="3"/>
      <c r="V51" s="136"/>
    </row>
    <row r="52" spans="1:22" x14ac:dyDescent="0.25">
      <c r="A52" s="139">
        <f t="shared" si="0"/>
        <v>45</v>
      </c>
      <c r="B52" s="135" t="s">
        <v>146</v>
      </c>
      <c r="C52" s="139" t="s">
        <v>7</v>
      </c>
      <c r="D52" s="135">
        <v>1</v>
      </c>
      <c r="E52" s="139" t="s">
        <v>154</v>
      </c>
      <c r="F52" s="134">
        <v>31880</v>
      </c>
      <c r="G52" s="134">
        <v>32950</v>
      </c>
      <c r="H52" s="134">
        <v>16608</v>
      </c>
      <c r="I52" s="134">
        <v>8711</v>
      </c>
      <c r="J52" s="134">
        <v>10078</v>
      </c>
      <c r="K52" s="134">
        <v>30425</v>
      </c>
      <c r="L52" s="134">
        <v>35469</v>
      </c>
      <c r="M52" s="134">
        <v>36939</v>
      </c>
      <c r="N52" s="134">
        <v>31574</v>
      </c>
      <c r="O52" s="134">
        <v>24855</v>
      </c>
      <c r="P52" s="134">
        <v>20358</v>
      </c>
      <c r="Q52" s="134">
        <v>29387</v>
      </c>
      <c r="R52" s="3">
        <f t="shared" si="9"/>
        <v>309234</v>
      </c>
      <c r="T52" s="3"/>
      <c r="V52" s="136"/>
    </row>
    <row r="53" spans="1:22" x14ac:dyDescent="0.25">
      <c r="A53" s="139">
        <f t="shared" si="0"/>
        <v>46</v>
      </c>
      <c r="B53" s="135" t="s">
        <v>147</v>
      </c>
      <c r="C53" s="139" t="s">
        <v>7</v>
      </c>
      <c r="D53" s="135">
        <v>1</v>
      </c>
      <c r="E53" s="139" t="s">
        <v>154</v>
      </c>
      <c r="F53" s="134">
        <v>0</v>
      </c>
      <c r="G53" s="134">
        <v>0</v>
      </c>
      <c r="H53" s="134">
        <v>0</v>
      </c>
      <c r="I53" s="134">
        <v>0</v>
      </c>
      <c r="J53" s="134">
        <v>0</v>
      </c>
      <c r="K53" s="134">
        <v>0</v>
      </c>
      <c r="L53" s="134">
        <v>0</v>
      </c>
      <c r="M53" s="134">
        <v>0</v>
      </c>
      <c r="N53" s="134">
        <v>0</v>
      </c>
      <c r="O53" s="134">
        <v>0</v>
      </c>
      <c r="P53" s="134">
        <v>0</v>
      </c>
      <c r="Q53" s="134">
        <v>0</v>
      </c>
      <c r="R53" s="3">
        <f t="shared" si="9"/>
        <v>0</v>
      </c>
      <c r="T53" s="3"/>
      <c r="V53" s="136"/>
    </row>
    <row r="54" spans="1:22" x14ac:dyDescent="0.25">
      <c r="A54" s="139">
        <f t="shared" si="0"/>
        <v>47</v>
      </c>
      <c r="B54" s="135" t="s">
        <v>148</v>
      </c>
      <c r="C54" s="139" t="s">
        <v>7</v>
      </c>
      <c r="D54" s="135">
        <v>0</v>
      </c>
      <c r="E54" s="139" t="s">
        <v>154</v>
      </c>
      <c r="F54" s="134">
        <v>0</v>
      </c>
      <c r="G54" s="134">
        <v>0</v>
      </c>
      <c r="H54" s="134">
        <v>0</v>
      </c>
      <c r="I54" s="134">
        <v>0</v>
      </c>
      <c r="J54" s="134">
        <v>0</v>
      </c>
      <c r="K54" s="134">
        <v>0</v>
      </c>
      <c r="L54" s="134">
        <v>0</v>
      </c>
      <c r="M54" s="134">
        <v>0</v>
      </c>
      <c r="N54" s="134">
        <v>0</v>
      </c>
      <c r="O54" s="134">
        <v>0</v>
      </c>
      <c r="P54" s="134">
        <v>0</v>
      </c>
      <c r="Q54" s="134">
        <v>0</v>
      </c>
      <c r="R54" s="3">
        <f t="shared" si="9"/>
        <v>0</v>
      </c>
      <c r="T54" s="3"/>
      <c r="V54" s="136"/>
    </row>
    <row r="55" spans="1:22" x14ac:dyDescent="0.25">
      <c r="A55" s="139">
        <f t="shared" si="0"/>
        <v>48</v>
      </c>
      <c r="B55" s="135" t="s">
        <v>149</v>
      </c>
      <c r="C55" s="139" t="s">
        <v>7</v>
      </c>
      <c r="D55" s="135">
        <v>0</v>
      </c>
      <c r="E55" s="139" t="s">
        <v>154</v>
      </c>
      <c r="F55" s="134">
        <v>0</v>
      </c>
      <c r="G55" s="134">
        <v>0</v>
      </c>
      <c r="H55" s="134">
        <v>0</v>
      </c>
      <c r="I55" s="134">
        <v>0</v>
      </c>
      <c r="J55" s="134">
        <v>0</v>
      </c>
      <c r="K55" s="134">
        <v>0</v>
      </c>
      <c r="L55" s="134">
        <v>0</v>
      </c>
      <c r="M55" s="134">
        <v>0</v>
      </c>
      <c r="N55" s="134">
        <v>0</v>
      </c>
      <c r="O55" s="134">
        <v>0</v>
      </c>
      <c r="P55" s="134">
        <v>0</v>
      </c>
      <c r="Q55" s="134">
        <v>0</v>
      </c>
      <c r="R55" s="3">
        <f t="shared" si="9"/>
        <v>0</v>
      </c>
      <c r="T55" s="3"/>
      <c r="V55" s="136"/>
    </row>
    <row r="56" spans="1:22" x14ac:dyDescent="0.25">
      <c r="A56" s="139">
        <f t="shared" si="0"/>
        <v>49</v>
      </c>
      <c r="B56" s="135" t="s">
        <v>150</v>
      </c>
      <c r="C56" s="139" t="s">
        <v>7</v>
      </c>
      <c r="D56" s="135">
        <v>0</v>
      </c>
      <c r="E56" s="139" t="s">
        <v>154</v>
      </c>
      <c r="F56" s="134">
        <v>0</v>
      </c>
      <c r="G56" s="134">
        <v>0</v>
      </c>
      <c r="H56" s="134">
        <v>0</v>
      </c>
      <c r="I56" s="134">
        <v>0</v>
      </c>
      <c r="J56" s="134">
        <v>0</v>
      </c>
      <c r="K56" s="134">
        <v>0</v>
      </c>
      <c r="L56" s="134">
        <v>0</v>
      </c>
      <c r="M56" s="134">
        <v>0</v>
      </c>
      <c r="N56" s="134">
        <v>0</v>
      </c>
      <c r="O56" s="134">
        <v>0</v>
      </c>
      <c r="P56" s="134">
        <v>0</v>
      </c>
      <c r="Q56" s="134">
        <v>0</v>
      </c>
      <c r="R56" s="3">
        <f t="shared" si="9"/>
        <v>0</v>
      </c>
      <c r="T56" s="3"/>
      <c r="V56" s="136"/>
    </row>
    <row r="57" spans="1:22" x14ac:dyDescent="0.25">
      <c r="A57" s="139">
        <f t="shared" si="0"/>
        <v>50</v>
      </c>
      <c r="B57" s="135" t="s">
        <v>1</v>
      </c>
      <c r="F57" s="3">
        <f>SUM(F35:F56)</f>
        <v>155091</v>
      </c>
      <c r="G57" s="3">
        <f t="shared" ref="G57:Q57" si="10">SUM(G35:G56)</f>
        <v>151516</v>
      </c>
      <c r="H57" s="3">
        <f t="shared" si="10"/>
        <v>100061</v>
      </c>
      <c r="I57" s="3">
        <f t="shared" si="10"/>
        <v>124716</v>
      </c>
      <c r="J57" s="3">
        <f t="shared" si="10"/>
        <v>107408</v>
      </c>
      <c r="K57" s="3">
        <f t="shared" si="10"/>
        <v>172827</v>
      </c>
      <c r="L57" s="3">
        <f t="shared" si="10"/>
        <v>232819</v>
      </c>
      <c r="M57" s="3">
        <f t="shared" si="10"/>
        <v>262239</v>
      </c>
      <c r="N57" s="3">
        <f t="shared" si="10"/>
        <v>215184</v>
      </c>
      <c r="O57" s="3">
        <f t="shared" si="10"/>
        <v>139204</v>
      </c>
      <c r="P57" s="3">
        <f t="shared" si="10"/>
        <v>115970</v>
      </c>
      <c r="Q57" s="3">
        <f t="shared" si="10"/>
        <v>146451</v>
      </c>
      <c r="R57" s="3">
        <f t="shared" si="9"/>
        <v>1923486</v>
      </c>
      <c r="T57" s="3"/>
      <c r="V57" s="136"/>
    </row>
    <row r="58" spans="1:22" x14ac:dyDescent="0.25">
      <c r="A58" s="139">
        <f t="shared" si="0"/>
        <v>51</v>
      </c>
      <c r="B58" s="135" t="s">
        <v>151</v>
      </c>
      <c r="F58" s="136">
        <f>-F47</f>
        <v>-16</v>
      </c>
      <c r="G58" s="136">
        <f t="shared" ref="G58:Q58" si="11">-G47</f>
        <v>0</v>
      </c>
      <c r="H58" s="136">
        <f t="shared" si="11"/>
        <v>0</v>
      </c>
      <c r="I58" s="136">
        <f t="shared" si="11"/>
        <v>0</v>
      </c>
      <c r="J58" s="136">
        <f t="shared" si="11"/>
        <v>0</v>
      </c>
      <c r="K58" s="136">
        <f t="shared" si="11"/>
        <v>0</v>
      </c>
      <c r="L58" s="136">
        <f t="shared" si="11"/>
        <v>0</v>
      </c>
      <c r="M58" s="136">
        <f t="shared" si="11"/>
        <v>0</v>
      </c>
      <c r="N58" s="136">
        <f t="shared" si="11"/>
        <v>0</v>
      </c>
      <c r="O58" s="136">
        <f t="shared" si="11"/>
        <v>0</v>
      </c>
      <c r="P58" s="136">
        <f t="shared" si="11"/>
        <v>0</v>
      </c>
      <c r="Q58" s="136">
        <f t="shared" si="11"/>
        <v>0</v>
      </c>
      <c r="R58" s="136">
        <f t="shared" si="9"/>
        <v>-16</v>
      </c>
      <c r="T58" s="3"/>
      <c r="V58" s="136"/>
    </row>
    <row r="59" spans="1:22" x14ac:dyDescent="0.25">
      <c r="A59" s="139">
        <f t="shared" si="0"/>
        <v>52</v>
      </c>
      <c r="B59" s="135" t="s">
        <v>152</v>
      </c>
      <c r="F59" s="136">
        <f>SUM(F57:F58)</f>
        <v>155075</v>
      </c>
      <c r="G59" s="136">
        <f t="shared" ref="G59:Q59" si="12">SUM(G57:G58)</f>
        <v>151516</v>
      </c>
      <c r="H59" s="136">
        <f t="shared" si="12"/>
        <v>100061</v>
      </c>
      <c r="I59" s="136">
        <f t="shared" si="12"/>
        <v>124716</v>
      </c>
      <c r="J59" s="136">
        <f t="shared" si="12"/>
        <v>107408</v>
      </c>
      <c r="K59" s="136">
        <f t="shared" si="12"/>
        <v>172827</v>
      </c>
      <c r="L59" s="136">
        <f t="shared" si="12"/>
        <v>232819</v>
      </c>
      <c r="M59" s="136">
        <f t="shared" si="12"/>
        <v>262239</v>
      </c>
      <c r="N59" s="136">
        <f t="shared" si="12"/>
        <v>215184</v>
      </c>
      <c r="O59" s="136">
        <f t="shared" si="12"/>
        <v>139204</v>
      </c>
      <c r="P59" s="136">
        <f t="shared" si="12"/>
        <v>115970</v>
      </c>
      <c r="Q59" s="136">
        <f t="shared" si="12"/>
        <v>146451</v>
      </c>
      <c r="R59" s="136">
        <f t="shared" si="9"/>
        <v>1923470</v>
      </c>
      <c r="T59" s="3"/>
      <c r="V59" s="136"/>
    </row>
    <row r="60" spans="1:22" x14ac:dyDescent="0.25">
      <c r="A60" s="139">
        <f t="shared" si="0"/>
        <v>53</v>
      </c>
      <c r="V60" s="136"/>
    </row>
    <row r="61" spans="1:22" x14ac:dyDescent="0.25">
      <c r="A61" s="139">
        <f t="shared" si="0"/>
        <v>54</v>
      </c>
      <c r="B61" s="135" t="s">
        <v>195</v>
      </c>
      <c r="F61" s="3">
        <f>+F13+F32+F59</f>
        <v>192075</v>
      </c>
      <c r="G61" s="3">
        <f t="shared" ref="G61:Q61" si="13">+G13+G32+G59</f>
        <v>192562</v>
      </c>
      <c r="H61" s="3">
        <f t="shared" si="13"/>
        <v>138797</v>
      </c>
      <c r="I61" s="3">
        <f t="shared" si="13"/>
        <v>164741</v>
      </c>
      <c r="J61" s="3">
        <f t="shared" si="13"/>
        <v>144381</v>
      </c>
      <c r="K61" s="3">
        <f t="shared" si="13"/>
        <v>212664</v>
      </c>
      <c r="L61" s="3">
        <f>+L13+L32+L59</f>
        <v>274090</v>
      </c>
      <c r="M61" s="3">
        <f t="shared" si="13"/>
        <v>304757</v>
      </c>
      <c r="N61" s="3">
        <f t="shared" si="13"/>
        <v>257929</v>
      </c>
      <c r="O61" s="3">
        <f t="shared" si="13"/>
        <v>176969</v>
      </c>
      <c r="P61" s="3">
        <f t="shared" si="13"/>
        <v>152334</v>
      </c>
      <c r="Q61" s="3">
        <f t="shared" si="13"/>
        <v>185911</v>
      </c>
      <c r="R61" s="136">
        <f>SUM(F61:Q61)</f>
        <v>2397210</v>
      </c>
      <c r="T61" s="3"/>
      <c r="V61" s="136"/>
    </row>
    <row r="62" spans="1:22" x14ac:dyDescent="0.25">
      <c r="V62" s="136"/>
    </row>
    <row r="63" spans="1:22" x14ac:dyDescent="0.25">
      <c r="B63" s="135" t="s">
        <v>158</v>
      </c>
      <c r="V63" s="136"/>
    </row>
    <row r="67" spans="6:18" x14ac:dyDescent="0.25">
      <c r="F67" s="3"/>
      <c r="G67" s="3"/>
      <c r="H67" s="3"/>
      <c r="I67" s="3"/>
      <c r="J67" s="3"/>
      <c r="K67" s="3"/>
      <c r="L67" s="3"/>
      <c r="M67" s="3"/>
      <c r="N67" s="3"/>
      <c r="O67" s="3"/>
      <c r="P67" s="3"/>
      <c r="Q67" s="3"/>
      <c r="R67" s="136"/>
    </row>
  </sheetData>
  <mergeCells count="2">
    <mergeCell ref="B1:R1"/>
    <mergeCell ref="B2:R2"/>
  </mergeCells>
  <pageMargins left="0.7" right="0.7" top="0.75" bottom="0.75" header="0.3" footer="0.3"/>
  <pageSetup scale="51" orientation="landscape" r:id="rId1"/>
  <headerFooter>
    <oddHeader>&amp;RSchedule G1.0</oddHeader>
    <oddFooter>&amp;L&amp;Z&amp;F&amp;R&amp;D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heetViews>
  <sheetFormatPr defaultRowHeight="15" x14ac:dyDescent="0.25"/>
  <cols>
    <col min="2" max="2" width="29" customWidth="1"/>
    <col min="3" max="3" width="13.28515625" customWidth="1"/>
    <col min="4" max="4" width="14.5703125" customWidth="1"/>
    <col min="5" max="5" width="15.85546875" customWidth="1"/>
    <col min="7" max="7" width="23.140625" customWidth="1"/>
    <col min="8" max="8" width="12.28515625" bestFit="1" customWidth="1"/>
    <col min="9" max="10" width="10.42578125" customWidth="1"/>
    <col min="11" max="11" width="11" customWidth="1"/>
  </cols>
  <sheetData>
    <row r="1" spans="1:11" x14ac:dyDescent="0.25">
      <c r="B1" s="193" t="s">
        <v>29</v>
      </c>
      <c r="C1" s="193"/>
      <c r="D1" s="193"/>
      <c r="E1" s="193"/>
      <c r="F1" s="193"/>
      <c r="G1" s="193"/>
      <c r="H1" s="193"/>
      <c r="I1" s="193"/>
      <c r="J1" s="193"/>
      <c r="K1" s="193"/>
    </row>
    <row r="2" spans="1:11" x14ac:dyDescent="0.25">
      <c r="B2" s="186" t="s">
        <v>330</v>
      </c>
      <c r="C2" s="186"/>
      <c r="D2" s="186"/>
      <c r="E2" s="186"/>
      <c r="F2" s="186"/>
      <c r="G2" s="186"/>
      <c r="H2" s="186"/>
      <c r="I2" s="186"/>
      <c r="J2" s="186"/>
      <c r="K2" s="186"/>
    </row>
    <row r="3" spans="1:11" x14ac:dyDescent="0.25">
      <c r="B3" s="65" t="s">
        <v>420</v>
      </c>
    </row>
    <row r="4" spans="1:11" x14ac:dyDescent="0.25">
      <c r="C4" s="48" t="s">
        <v>221</v>
      </c>
      <c r="D4" s="48" t="s">
        <v>222</v>
      </c>
      <c r="E4" s="48" t="s">
        <v>223</v>
      </c>
      <c r="F4" s="48"/>
      <c r="G4" s="48" t="s">
        <v>224</v>
      </c>
      <c r="H4" s="48" t="s">
        <v>225</v>
      </c>
      <c r="I4" s="48" t="s">
        <v>226</v>
      </c>
      <c r="J4" s="48" t="s">
        <v>227</v>
      </c>
      <c r="K4" s="48" t="s">
        <v>228</v>
      </c>
    </row>
    <row r="6" spans="1:11" x14ac:dyDescent="0.25">
      <c r="H6" s="48" t="s">
        <v>317</v>
      </c>
      <c r="I6" s="48"/>
      <c r="J6" s="48"/>
    </row>
    <row r="7" spans="1:11" x14ac:dyDescent="0.25">
      <c r="B7" s="51"/>
      <c r="C7" s="53" t="s">
        <v>309</v>
      </c>
      <c r="D7" s="53" t="s">
        <v>4</v>
      </c>
      <c r="E7" s="53" t="s">
        <v>310</v>
      </c>
      <c r="H7" s="60" t="s">
        <v>318</v>
      </c>
      <c r="I7" s="60" t="s">
        <v>25</v>
      </c>
      <c r="J7" s="60" t="s">
        <v>24</v>
      </c>
      <c r="K7" s="60" t="s">
        <v>1</v>
      </c>
    </row>
    <row r="8" spans="1:11" x14ac:dyDescent="0.25">
      <c r="B8" s="51"/>
      <c r="C8" s="56" t="s">
        <v>116</v>
      </c>
      <c r="D8" s="56" t="s">
        <v>116</v>
      </c>
      <c r="E8" s="56" t="s">
        <v>116</v>
      </c>
      <c r="H8" s="56" t="s">
        <v>116</v>
      </c>
      <c r="I8" s="56" t="s">
        <v>116</v>
      </c>
      <c r="J8" s="56" t="s">
        <v>116</v>
      </c>
      <c r="K8" s="56" t="s">
        <v>116</v>
      </c>
    </row>
    <row r="9" spans="1:11" x14ac:dyDescent="0.25">
      <c r="A9" s="48"/>
      <c r="B9" s="57" t="s">
        <v>311</v>
      </c>
      <c r="C9" s="56"/>
      <c r="D9" s="56"/>
      <c r="E9" s="56"/>
      <c r="G9" s="5" t="s">
        <v>331</v>
      </c>
    </row>
    <row r="10" spans="1:11" x14ac:dyDescent="0.25">
      <c r="A10" s="48">
        <f>+A9+1</f>
        <v>1</v>
      </c>
      <c r="B10" s="52" t="s">
        <v>28</v>
      </c>
      <c r="C10" s="54">
        <f>+Debt!G20</f>
        <v>66723.38</v>
      </c>
      <c r="D10" s="54">
        <f>+TransExp!D18</f>
        <v>317507.12</v>
      </c>
      <c r="E10" s="54">
        <f t="shared" ref="E10:E15" si="0">SUM(C10:D10)</f>
        <v>384230.5</v>
      </c>
      <c r="G10" t="s">
        <v>319</v>
      </c>
      <c r="H10" s="4">
        <f>+E27</f>
        <v>155250.69633226644</v>
      </c>
      <c r="I10" s="4">
        <f>+E28</f>
        <v>928492.24671806605</v>
      </c>
      <c r="J10" s="4">
        <f>+E29</f>
        <v>323785.35499153589</v>
      </c>
      <c r="K10" s="4">
        <f>SUM(H10:J10)</f>
        <v>1407528.2980418683</v>
      </c>
    </row>
    <row r="11" spans="1:11" x14ac:dyDescent="0.25">
      <c r="A11" s="48">
        <f t="shared" ref="A11:A33" si="1">+A10+1</f>
        <v>2</v>
      </c>
      <c r="B11" s="185" t="s">
        <v>27</v>
      </c>
      <c r="C11" s="54">
        <f>+Debt!G32</f>
        <v>14884.23</v>
      </c>
      <c r="D11" s="54">
        <f>+TransExp!D30</f>
        <v>30153.95</v>
      </c>
      <c r="E11" s="54">
        <f t="shared" si="0"/>
        <v>45038.18</v>
      </c>
      <c r="G11" t="s">
        <v>320</v>
      </c>
      <c r="H11" s="72">
        <v>1.5</v>
      </c>
      <c r="I11" s="72">
        <v>1.5</v>
      </c>
      <c r="J11" s="72">
        <v>1.5</v>
      </c>
    </row>
    <row r="12" spans="1:11" x14ac:dyDescent="0.25">
      <c r="A12" s="48">
        <f t="shared" si="1"/>
        <v>3</v>
      </c>
      <c r="B12" s="51" t="s">
        <v>26</v>
      </c>
      <c r="C12" s="54">
        <f>+Debt!G26</f>
        <v>128695.9</v>
      </c>
      <c r="D12" s="54">
        <f>+TransExp!D42</f>
        <v>384054.33</v>
      </c>
      <c r="E12" s="54">
        <f t="shared" si="0"/>
        <v>512750.23</v>
      </c>
      <c r="G12" t="s">
        <v>321</v>
      </c>
      <c r="H12" s="1">
        <f>+H10*H11</f>
        <v>232876.04449839966</v>
      </c>
      <c r="I12" s="1">
        <f>+I10*I11</f>
        <v>1392738.3700770992</v>
      </c>
      <c r="J12" s="1">
        <f t="shared" ref="J12" si="2">+J10*J11</f>
        <v>485678.03248730383</v>
      </c>
      <c r="K12" s="4">
        <f>SUM(H12:J12)</f>
        <v>2111292.4470628025</v>
      </c>
    </row>
    <row r="13" spans="1:11" x14ac:dyDescent="0.25">
      <c r="A13" s="48">
        <f t="shared" si="1"/>
        <v>4</v>
      </c>
      <c r="B13" s="51" t="s">
        <v>25</v>
      </c>
      <c r="C13" s="54">
        <f>+Debt!G38</f>
        <v>926144.46</v>
      </c>
      <c r="D13" s="54">
        <f>+TransExp!D54</f>
        <v>929541.95000000007</v>
      </c>
      <c r="E13" s="54">
        <f>SUM(C13:D13)</f>
        <v>1855686.4100000001</v>
      </c>
      <c r="G13" t="s">
        <v>322</v>
      </c>
      <c r="H13" s="1">
        <f>-Summary!I17</f>
        <v>-98094.307798580179</v>
      </c>
      <c r="I13" s="1">
        <f>-Summary!J17</f>
        <v>-351033.29344130709</v>
      </c>
      <c r="J13" s="1">
        <f>-Summary!K17</f>
        <v>-234473.07668704944</v>
      </c>
      <c r="K13" s="4">
        <f>SUM(H13:J13)</f>
        <v>-683600.67792693677</v>
      </c>
    </row>
    <row r="14" spans="1:11" x14ac:dyDescent="0.25">
      <c r="A14" s="48">
        <f t="shared" si="1"/>
        <v>5</v>
      </c>
      <c r="B14" s="52" t="s">
        <v>24</v>
      </c>
      <c r="C14" s="54">
        <f>+Debt!G44</f>
        <v>849889.37</v>
      </c>
      <c r="D14" s="54">
        <f>+TransExp!D66</f>
        <v>693438.4</v>
      </c>
      <c r="E14" s="54">
        <f t="shared" si="0"/>
        <v>1543327.77</v>
      </c>
      <c r="G14" t="s">
        <v>323</v>
      </c>
      <c r="H14" s="1">
        <f>-Summary!I19</f>
        <v>-128290.70433100047</v>
      </c>
      <c r="I14" s="1">
        <f>-Summary!J19</f>
        <v>-465096.09000919084</v>
      </c>
      <c r="J14" s="1">
        <f>-Summary!K19</f>
        <v>-145481.21460210794</v>
      </c>
      <c r="K14" s="4">
        <f>SUM(H14:J14)</f>
        <v>-738868.00894229929</v>
      </c>
    </row>
    <row r="15" spans="1:11" x14ac:dyDescent="0.25">
      <c r="A15" s="48">
        <f t="shared" si="1"/>
        <v>6</v>
      </c>
      <c r="B15" s="51" t="s">
        <v>1</v>
      </c>
      <c r="C15" s="55">
        <f>SUM(C10:C14)</f>
        <v>1986337.3399999999</v>
      </c>
      <c r="D15" s="55">
        <f>SUM(D10:D14)</f>
        <v>2354695.75</v>
      </c>
      <c r="E15" s="55">
        <f t="shared" si="0"/>
        <v>4341033.09</v>
      </c>
      <c r="G15" t="s">
        <v>324</v>
      </c>
      <c r="H15" s="1">
        <f>SUM(H12:H14)</f>
        <v>6491.032368819011</v>
      </c>
      <c r="I15" s="1">
        <f>SUM(I12:I14)</f>
        <v>576608.98662660131</v>
      </c>
      <c r="J15" s="1">
        <f t="shared" ref="J15" si="3">SUM(J12:J14)</f>
        <v>105723.74119814645</v>
      </c>
      <c r="K15" s="4">
        <f>SUM(H15:J15)</f>
        <v>688823.76019356679</v>
      </c>
    </row>
    <row r="16" spans="1:11" x14ac:dyDescent="0.25">
      <c r="A16" s="48">
        <f t="shared" si="1"/>
        <v>7</v>
      </c>
    </row>
    <row r="17" spans="1:11" x14ac:dyDescent="0.25">
      <c r="A17" s="48">
        <f t="shared" si="1"/>
        <v>8</v>
      </c>
      <c r="B17" s="59" t="s">
        <v>312</v>
      </c>
      <c r="G17" t="s">
        <v>20</v>
      </c>
      <c r="H17" s="1">
        <f>+H15</f>
        <v>6491.032368819011</v>
      </c>
      <c r="I17" s="1">
        <f t="shared" ref="I17:J17" si="4">+I15</f>
        <v>576608.98662660131</v>
      </c>
      <c r="J17" s="1">
        <f t="shared" si="4"/>
        <v>105723.74119814645</v>
      </c>
      <c r="K17" s="1">
        <f>SUM(H17:J17)</f>
        <v>688823.76019356679</v>
      </c>
    </row>
    <row r="18" spans="1:11" x14ac:dyDescent="0.25">
      <c r="A18" s="48">
        <f t="shared" si="1"/>
        <v>9</v>
      </c>
      <c r="B18" s="58" t="s">
        <v>28</v>
      </c>
      <c r="C18" s="1">
        <f>+C10*C22</f>
        <v>38331.996193256346</v>
      </c>
      <c r="D18" s="1">
        <f>+D10*D22</f>
        <v>182405.05374835304</v>
      </c>
      <c r="E18" s="1">
        <f>SUM(C18:D18)</f>
        <v>220737.04994160938</v>
      </c>
      <c r="G18" t="s">
        <v>325</v>
      </c>
      <c r="H18" s="1">
        <f>+Summary!I17</f>
        <v>98094.307798580179</v>
      </c>
      <c r="I18" s="1">
        <f>+Summary!J17</f>
        <v>351033.29344130709</v>
      </c>
      <c r="J18" s="1">
        <f>+Summary!K17</f>
        <v>234473.07668704944</v>
      </c>
      <c r="K18" s="1">
        <f>SUM(H18:J18)</f>
        <v>683600.67792693677</v>
      </c>
    </row>
    <row r="19" spans="1:11" x14ac:dyDescent="0.25">
      <c r="A19" s="48">
        <f t="shared" si="1"/>
        <v>10</v>
      </c>
      <c r="B19" s="58" t="s">
        <v>25</v>
      </c>
      <c r="C19" s="1">
        <f>+C13*C23</f>
        <v>926144.46</v>
      </c>
      <c r="D19" s="1">
        <f>+D13*D23</f>
        <v>929541.95000000007</v>
      </c>
      <c r="E19" s="1">
        <f>SUM(C19:D19)</f>
        <v>1855686.4100000001</v>
      </c>
      <c r="G19" t="s">
        <v>326</v>
      </c>
      <c r="H19" s="1">
        <f>+Summary!I19</f>
        <v>128290.70433100047</v>
      </c>
      <c r="I19" s="1">
        <f>+Summary!J19</f>
        <v>465096.09000919084</v>
      </c>
      <c r="J19" s="1">
        <f>+Summary!K19</f>
        <v>145481.21460210794</v>
      </c>
      <c r="K19" s="1">
        <f>SUM(H19:J19)</f>
        <v>738868.00894229929</v>
      </c>
    </row>
    <row r="20" spans="1:11" x14ac:dyDescent="0.25">
      <c r="A20" s="48">
        <f t="shared" si="1"/>
        <v>11</v>
      </c>
      <c r="B20" s="58" t="s">
        <v>24</v>
      </c>
      <c r="C20" s="1">
        <f>+C14*C24</f>
        <v>849889.37</v>
      </c>
      <c r="D20" s="1">
        <f>+D14*D24</f>
        <v>693438.4</v>
      </c>
      <c r="E20" s="1">
        <f>SUM(C20:D20)</f>
        <v>1543327.77</v>
      </c>
      <c r="G20" t="s">
        <v>327</v>
      </c>
      <c r="H20" s="1">
        <f>SUM(H17:H19)</f>
        <v>232876.04449839966</v>
      </c>
      <c r="I20" s="1">
        <f t="shared" ref="I20:J20" si="5">SUM(I17:I19)</f>
        <v>1392738.3700770992</v>
      </c>
      <c r="J20" s="1">
        <f t="shared" si="5"/>
        <v>485678.03248730383</v>
      </c>
      <c r="K20" s="1">
        <f>SUM(H20:J20)</f>
        <v>2111292.4470628025</v>
      </c>
    </row>
    <row r="21" spans="1:11" x14ac:dyDescent="0.25">
      <c r="A21" s="48">
        <f t="shared" si="1"/>
        <v>12</v>
      </c>
      <c r="B21" s="58" t="s">
        <v>1</v>
      </c>
      <c r="C21" s="4">
        <f>SUM(C18:C20)</f>
        <v>1814365.8261932563</v>
      </c>
      <c r="D21" s="4">
        <f>SUM(D18:D20)</f>
        <v>1805385.403748353</v>
      </c>
      <c r="E21" s="4">
        <f>SUM(C21:D21)</f>
        <v>3619751.2299416093</v>
      </c>
      <c r="G21" t="s">
        <v>328</v>
      </c>
      <c r="H21" s="4">
        <f>+E27</f>
        <v>155250.69633226644</v>
      </c>
      <c r="I21" s="4">
        <f>+E28</f>
        <v>928492.24671806605</v>
      </c>
      <c r="J21" s="4">
        <f>+E29</f>
        <v>323785.35499153589</v>
      </c>
      <c r="K21" s="4">
        <f>SUM(H21:J21)</f>
        <v>1407528.2980418683</v>
      </c>
    </row>
    <row r="22" spans="1:11" x14ac:dyDescent="0.25">
      <c r="A22" s="48">
        <f t="shared" si="1"/>
        <v>13</v>
      </c>
      <c r="B22" s="58" t="s">
        <v>313</v>
      </c>
      <c r="C22" s="22">
        <f>+AF!F10</f>
        <v>0.57449122321525592</v>
      </c>
      <c r="D22" s="22">
        <f>+C22</f>
        <v>0.57449122321525592</v>
      </c>
      <c r="G22" t="s">
        <v>329</v>
      </c>
      <c r="H22" s="17">
        <f>IFERROR(+H20/H21,0)</f>
        <v>1.5</v>
      </c>
      <c r="I22" s="17">
        <f t="shared" ref="I22:K22" si="6">IFERROR(+I20/I21,0)</f>
        <v>1.5000000000000002</v>
      </c>
      <c r="J22" s="17">
        <f t="shared" si="6"/>
        <v>1.5</v>
      </c>
      <c r="K22" s="17">
        <f t="shared" si="6"/>
        <v>1.5</v>
      </c>
    </row>
    <row r="23" spans="1:11" x14ac:dyDescent="0.25">
      <c r="A23" s="48">
        <f t="shared" si="1"/>
        <v>14</v>
      </c>
      <c r="B23" s="58" t="s">
        <v>314</v>
      </c>
      <c r="C23" s="8">
        <v>1</v>
      </c>
      <c r="D23" s="8">
        <f>+C23</f>
        <v>1</v>
      </c>
    </row>
    <row r="24" spans="1:11" x14ac:dyDescent="0.25">
      <c r="A24" s="48">
        <f t="shared" si="1"/>
        <v>15</v>
      </c>
      <c r="B24" s="58" t="s">
        <v>315</v>
      </c>
      <c r="C24" s="8">
        <f>+C23</f>
        <v>1</v>
      </c>
      <c r="D24" s="8">
        <f>+D23</f>
        <v>1</v>
      </c>
    </row>
    <row r="25" spans="1:11" x14ac:dyDescent="0.25">
      <c r="A25" s="48">
        <f t="shared" si="1"/>
        <v>16</v>
      </c>
    </row>
    <row r="26" spans="1:11" x14ac:dyDescent="0.25">
      <c r="A26" s="48">
        <f t="shared" si="1"/>
        <v>17</v>
      </c>
      <c r="B26" s="59" t="s">
        <v>316</v>
      </c>
    </row>
    <row r="27" spans="1:11" x14ac:dyDescent="0.25">
      <c r="A27" s="48">
        <f t="shared" si="1"/>
        <v>18</v>
      </c>
      <c r="B27" s="58" t="s">
        <v>28</v>
      </c>
      <c r="C27" s="1">
        <f>+C18*C31</f>
        <v>26959.99200126596</v>
      </c>
      <c r="D27" s="1">
        <f>+D18*D31</f>
        <v>128290.70433100047</v>
      </c>
      <c r="E27" s="4">
        <f>SUM(C27:D27)</f>
        <v>155250.69633226644</v>
      </c>
    </row>
    <row r="28" spans="1:11" x14ac:dyDescent="0.25">
      <c r="A28" s="48">
        <f t="shared" si="1"/>
        <v>19</v>
      </c>
      <c r="B28" s="58" t="s">
        <v>25</v>
      </c>
      <c r="C28" s="1">
        <f>+C19*C32</f>
        <v>463396.15670887515</v>
      </c>
      <c r="D28" s="1">
        <f>+D19*D32</f>
        <v>465096.09000919084</v>
      </c>
      <c r="E28" s="4">
        <f>SUM(C28:D28)</f>
        <v>928492.24671806605</v>
      </c>
    </row>
    <row r="29" spans="1:11" x14ac:dyDescent="0.25">
      <c r="A29" s="48">
        <f t="shared" si="1"/>
        <v>20</v>
      </c>
      <c r="B29" s="58" t="s">
        <v>24</v>
      </c>
      <c r="C29" s="1">
        <f t="shared" ref="C29" si="7">+C20*C33</f>
        <v>178304.14038942798</v>
      </c>
      <c r="D29" s="1">
        <f t="shared" ref="D29" si="8">+D20*D33</f>
        <v>145481.21460210794</v>
      </c>
      <c r="E29" s="4">
        <f>SUM(C29:D29)</f>
        <v>323785.35499153589</v>
      </c>
    </row>
    <row r="30" spans="1:11" x14ac:dyDescent="0.25">
      <c r="A30" s="48">
        <f t="shared" si="1"/>
        <v>21</v>
      </c>
      <c r="B30" s="58" t="s">
        <v>1</v>
      </c>
      <c r="C30" s="4">
        <f>SUM(C27:C29)</f>
        <v>668660.28909956908</v>
      </c>
      <c r="D30" s="4">
        <f>SUM(D27:D29)</f>
        <v>738868.00894229929</v>
      </c>
      <c r="E30" s="4">
        <f>SUM(C30:D30)</f>
        <v>1407528.2980418685</v>
      </c>
    </row>
    <row r="31" spans="1:11" x14ac:dyDescent="0.25">
      <c r="A31" s="48">
        <f t="shared" si="1"/>
        <v>22</v>
      </c>
      <c r="B31" s="58" t="s">
        <v>313</v>
      </c>
      <c r="C31" s="22">
        <f>+AF!E19</f>
        <v>0.70332867261447152</v>
      </c>
      <c r="D31" s="22">
        <f>+C31</f>
        <v>0.70332867261447152</v>
      </c>
    </row>
    <row r="32" spans="1:11" x14ac:dyDescent="0.25">
      <c r="A32" s="48">
        <f t="shared" si="1"/>
        <v>23</v>
      </c>
      <c r="B32" s="58" t="s">
        <v>314</v>
      </c>
      <c r="C32" s="22">
        <f>+AF!E20</f>
        <v>0.50034975829675121</v>
      </c>
      <c r="D32" s="22">
        <f t="shared" ref="D32:D33" si="9">+C32</f>
        <v>0.50034975829675121</v>
      </c>
    </row>
    <row r="33" spans="1:4" x14ac:dyDescent="0.25">
      <c r="A33" s="48">
        <f t="shared" si="1"/>
        <v>24</v>
      </c>
      <c r="B33" s="58" t="s">
        <v>315</v>
      </c>
      <c r="C33" s="22">
        <f>+AF!E21</f>
        <v>0.20979688261006016</v>
      </c>
      <c r="D33" s="22">
        <f t="shared" si="9"/>
        <v>0.20979688261006016</v>
      </c>
    </row>
    <row r="35" spans="1:4" x14ac:dyDescent="0.25">
      <c r="A35" t="s">
        <v>450</v>
      </c>
    </row>
  </sheetData>
  <mergeCells count="2">
    <mergeCell ref="B1:K1"/>
    <mergeCell ref="B2:K2"/>
  </mergeCells>
  <pageMargins left="0.7" right="0.7" top="0.75" bottom="0.75" header="0.3" footer="0.3"/>
  <pageSetup scale="77" orientation="landscape" r:id="rId1"/>
  <headerFooter>
    <oddHeader>&amp;RSchedule H1.0</oddHeader>
    <oddFooter>&amp;L&amp;Z&amp;F&amp;R&amp;D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sqref="A1:G1"/>
    </sheetView>
  </sheetViews>
  <sheetFormatPr defaultRowHeight="12.75" x14ac:dyDescent="0.2"/>
  <cols>
    <col min="1" max="1" width="3.85546875" style="58" customWidth="1"/>
    <col min="2" max="2" width="13.5703125" style="58" customWidth="1"/>
    <col min="3" max="3" width="16.85546875" style="58" customWidth="1"/>
    <col min="4" max="4" width="4.28515625" style="58" customWidth="1"/>
    <col min="5" max="5" width="16.85546875" style="58" customWidth="1"/>
    <col min="6" max="6" width="4.28515625" style="58" customWidth="1"/>
    <col min="7" max="7" width="27.42578125" style="58" bestFit="1" customWidth="1"/>
    <col min="8" max="8" width="9.140625" style="58"/>
    <col min="9" max="9" width="12.85546875" style="58" bestFit="1" customWidth="1"/>
    <col min="10" max="10" width="11.42578125" style="58" bestFit="1" customWidth="1"/>
    <col min="11" max="11" width="11.28515625" style="58" bestFit="1" customWidth="1"/>
    <col min="12" max="12" width="12.85546875" style="58" bestFit="1" customWidth="1"/>
    <col min="13" max="16384" width="9.140625" style="58"/>
  </cols>
  <sheetData>
    <row r="1" spans="1:9" ht="15.75" x14ac:dyDescent="0.25">
      <c r="A1" s="194" t="s">
        <v>29</v>
      </c>
      <c r="B1" s="194"/>
      <c r="C1" s="194"/>
      <c r="D1" s="194"/>
      <c r="E1" s="194"/>
      <c r="F1" s="194"/>
      <c r="G1" s="194"/>
    </row>
    <row r="2" spans="1:9" ht="15.75" x14ac:dyDescent="0.25">
      <c r="A2" s="194" t="s">
        <v>300</v>
      </c>
      <c r="B2" s="194"/>
      <c r="C2" s="194"/>
      <c r="D2" s="194"/>
      <c r="E2" s="194"/>
      <c r="F2" s="194"/>
      <c r="G2" s="194"/>
    </row>
    <row r="3" spans="1:9" ht="15.75" x14ac:dyDescent="0.25">
      <c r="A3" s="194" t="s">
        <v>461</v>
      </c>
      <c r="B3" s="194"/>
      <c r="C3" s="194"/>
      <c r="D3" s="194"/>
      <c r="E3" s="194"/>
      <c r="F3" s="194"/>
      <c r="G3" s="194"/>
    </row>
    <row r="4" spans="1:9" ht="15" x14ac:dyDescent="0.25">
      <c r="B4" s="112" t="s">
        <v>420</v>
      </c>
    </row>
    <row r="5" spans="1:9" x14ac:dyDescent="0.2">
      <c r="C5" s="60" t="s">
        <v>221</v>
      </c>
      <c r="D5" s="60"/>
      <c r="E5" s="60" t="s">
        <v>222</v>
      </c>
      <c r="F5" s="60"/>
      <c r="G5" s="60" t="s">
        <v>223</v>
      </c>
    </row>
    <row r="7" spans="1:9" x14ac:dyDescent="0.2">
      <c r="C7" s="60" t="s">
        <v>307</v>
      </c>
      <c r="D7" s="60"/>
      <c r="E7" s="60" t="s">
        <v>308</v>
      </c>
    </row>
    <row r="8" spans="1:9" x14ac:dyDescent="0.2">
      <c r="C8" s="126" t="s">
        <v>301</v>
      </c>
      <c r="D8" s="126"/>
      <c r="E8" s="126" t="s">
        <v>302</v>
      </c>
      <c r="F8" s="126"/>
      <c r="G8" s="126" t="s">
        <v>1</v>
      </c>
    </row>
    <row r="10" spans="1:9" ht="15" x14ac:dyDescent="0.25">
      <c r="A10" s="60">
        <v>1</v>
      </c>
      <c r="B10" s="160" t="s">
        <v>28</v>
      </c>
      <c r="C10" s="158">
        <v>4291769.49</v>
      </c>
      <c r="D10" s="100"/>
      <c r="E10" s="158">
        <v>460451.18</v>
      </c>
      <c r="F10" s="100"/>
      <c r="G10" s="100">
        <f>SUM(C10:F10)</f>
        <v>4752220.67</v>
      </c>
    </row>
    <row r="11" spans="1:9" ht="15" x14ac:dyDescent="0.25">
      <c r="A11" s="60">
        <f>+A10+1</f>
        <v>2</v>
      </c>
      <c r="B11" s="160" t="s">
        <v>26</v>
      </c>
      <c r="C11" s="158">
        <v>7659556.1299999999</v>
      </c>
      <c r="D11" s="100"/>
      <c r="E11" s="158">
        <v>132493.75</v>
      </c>
      <c r="F11" s="100"/>
      <c r="G11" s="100">
        <f>SUM(C11:F11)</f>
        <v>7792049.8799999999</v>
      </c>
    </row>
    <row r="12" spans="1:9" ht="15" x14ac:dyDescent="0.25">
      <c r="A12" s="60">
        <f t="shared" ref="A12:A45" si="0">+A11+1</f>
        <v>3</v>
      </c>
      <c r="B12" s="102" t="s">
        <v>27</v>
      </c>
      <c r="C12" s="158">
        <v>444862.85</v>
      </c>
      <c r="D12" s="100"/>
      <c r="E12" s="158">
        <v>0</v>
      </c>
      <c r="F12" s="100"/>
      <c r="G12" s="100">
        <f>SUM(C12:F12)</f>
        <v>444862.85</v>
      </c>
    </row>
    <row r="13" spans="1:9" ht="15" x14ac:dyDescent="0.25">
      <c r="A13" s="60">
        <f t="shared" si="0"/>
        <v>4</v>
      </c>
      <c r="B13" s="161" t="s">
        <v>25</v>
      </c>
      <c r="C13" s="158">
        <v>21841544.260000002</v>
      </c>
      <c r="D13" s="100"/>
      <c r="E13" s="158">
        <v>348085.72</v>
      </c>
      <c r="F13" s="100"/>
      <c r="G13" s="100">
        <f>SUM(C13:F13)</f>
        <v>22189629.98</v>
      </c>
    </row>
    <row r="14" spans="1:9" ht="15" x14ac:dyDescent="0.25">
      <c r="A14" s="60">
        <f t="shared" si="0"/>
        <v>5</v>
      </c>
      <c r="B14" s="162" t="s">
        <v>42</v>
      </c>
      <c r="C14" s="159">
        <v>20903980.16</v>
      </c>
      <c r="D14" s="100"/>
      <c r="E14" s="159">
        <v>1825403.09</v>
      </c>
      <c r="F14" s="100"/>
      <c r="G14" s="163">
        <f>SUM(C14:F14)</f>
        <v>22729383.25</v>
      </c>
      <c r="I14" s="164"/>
    </row>
    <row r="15" spans="1:9" ht="15.75" thickBot="1" x14ac:dyDescent="0.3">
      <c r="A15" s="60">
        <f t="shared" si="0"/>
        <v>6</v>
      </c>
      <c r="B15" s="161" t="s">
        <v>253</v>
      </c>
      <c r="C15" s="101">
        <f>SUM(C10:C14)</f>
        <v>55141712.890000001</v>
      </c>
      <c r="D15" s="102"/>
      <c r="E15" s="101">
        <f>SUM(E10:E14)</f>
        <v>2766433.74</v>
      </c>
      <c r="F15" s="102"/>
      <c r="G15" s="165">
        <f>SUM(G10:G14)</f>
        <v>57908146.630000003</v>
      </c>
    </row>
    <row r="16" spans="1:9" ht="15.75" thickTop="1" x14ac:dyDescent="0.25">
      <c r="A16" s="60">
        <f t="shared" si="0"/>
        <v>7</v>
      </c>
      <c r="B16" s="102"/>
      <c r="C16" s="102"/>
      <c r="D16" s="102"/>
      <c r="F16" s="102"/>
      <c r="G16" s="100"/>
    </row>
    <row r="17" spans="1:7" ht="15" x14ac:dyDescent="0.25">
      <c r="A17" s="60">
        <f t="shared" si="0"/>
        <v>8</v>
      </c>
      <c r="B17" s="102"/>
      <c r="C17" s="103" t="s">
        <v>28</v>
      </c>
      <c r="D17" s="100"/>
      <c r="E17" s="103" t="s">
        <v>28</v>
      </c>
      <c r="F17" s="100"/>
      <c r="G17" s="103" t="s">
        <v>28</v>
      </c>
    </row>
    <row r="18" spans="1:7" ht="15" x14ac:dyDescent="0.25">
      <c r="A18" s="60">
        <f t="shared" si="0"/>
        <v>9</v>
      </c>
      <c r="B18" s="102" t="s">
        <v>303</v>
      </c>
      <c r="C18" s="158">
        <v>4358492.87</v>
      </c>
      <c r="D18" s="100"/>
      <c r="E18" s="158">
        <v>460451.18</v>
      </c>
      <c r="F18" s="100"/>
      <c r="G18" s="100">
        <f>SUM(C18:F18)</f>
        <v>4818944.05</v>
      </c>
    </row>
    <row r="19" spans="1:7" ht="15" x14ac:dyDescent="0.25">
      <c r="A19" s="60">
        <f t="shared" si="0"/>
        <v>10</v>
      </c>
      <c r="B19" s="102" t="s">
        <v>304</v>
      </c>
      <c r="C19" s="158">
        <v>0</v>
      </c>
      <c r="D19" s="100"/>
      <c r="E19" s="158">
        <v>0</v>
      </c>
      <c r="F19" s="100"/>
      <c r="G19" s="100">
        <f>SUM(C19:F19)</f>
        <v>0</v>
      </c>
    </row>
    <row r="20" spans="1:7" ht="15" x14ac:dyDescent="0.25">
      <c r="A20" s="60">
        <f t="shared" si="0"/>
        <v>11</v>
      </c>
      <c r="B20" s="102" t="s">
        <v>305</v>
      </c>
      <c r="C20" s="158">
        <v>66723.38</v>
      </c>
      <c r="D20" s="100"/>
      <c r="E20" s="158">
        <v>0</v>
      </c>
      <c r="F20" s="100"/>
      <c r="G20" s="100">
        <f>SUM(C20:F20)</f>
        <v>66723.38</v>
      </c>
    </row>
    <row r="21" spans="1:7" ht="15.75" thickBot="1" x14ac:dyDescent="0.3">
      <c r="A21" s="60">
        <f t="shared" si="0"/>
        <v>12</v>
      </c>
      <c r="B21" s="102" t="s">
        <v>306</v>
      </c>
      <c r="C21" s="104">
        <f>+C18+C19-C20</f>
        <v>4291769.49</v>
      </c>
      <c r="D21" s="100"/>
      <c r="E21" s="104">
        <f>+E18+E19-E20</f>
        <v>460451.18</v>
      </c>
      <c r="F21" s="100"/>
      <c r="G21" s="104">
        <f>+G18+G19-G20</f>
        <v>4752220.67</v>
      </c>
    </row>
    <row r="22" spans="1:7" ht="15.75" thickTop="1" x14ac:dyDescent="0.25">
      <c r="A22" s="60">
        <f t="shared" si="0"/>
        <v>13</v>
      </c>
      <c r="B22" s="102"/>
      <c r="C22" s="100"/>
      <c r="D22" s="100"/>
      <c r="E22" s="100"/>
      <c r="F22" s="100"/>
      <c r="G22" s="100"/>
    </row>
    <row r="23" spans="1:7" ht="15" x14ac:dyDescent="0.25">
      <c r="A23" s="60">
        <f t="shared" si="0"/>
        <v>14</v>
      </c>
      <c r="B23" s="102"/>
      <c r="C23" s="103" t="s">
        <v>26</v>
      </c>
      <c r="D23" s="100"/>
      <c r="E23" s="103" t="s">
        <v>26</v>
      </c>
      <c r="F23" s="100"/>
      <c r="G23" s="103" t="s">
        <v>26</v>
      </c>
    </row>
    <row r="24" spans="1:7" ht="15" x14ac:dyDescent="0.25">
      <c r="A24" s="60">
        <f t="shared" si="0"/>
        <v>15</v>
      </c>
      <c r="B24" s="102" t="s">
        <v>303</v>
      </c>
      <c r="C24" s="158">
        <v>5300216.6399999997</v>
      </c>
      <c r="D24" s="100"/>
      <c r="E24" s="158">
        <v>1595819.59</v>
      </c>
      <c r="F24" s="100"/>
      <c r="G24" s="100">
        <f>SUM(C24:F24)</f>
        <v>6896036.2299999995</v>
      </c>
    </row>
    <row r="25" spans="1:7" ht="15" x14ac:dyDescent="0.25">
      <c r="A25" s="60">
        <f t="shared" si="0"/>
        <v>16</v>
      </c>
      <c r="B25" s="102" t="s">
        <v>304</v>
      </c>
      <c r="C25" s="158">
        <f>2488035.39</f>
        <v>2488035.39</v>
      </c>
      <c r="D25" s="100"/>
      <c r="E25" s="158">
        <f>132493.75-1595819.59</f>
        <v>-1463325.84</v>
      </c>
      <c r="F25" s="100"/>
      <c r="G25" s="100">
        <f>SUM(C25:F25)</f>
        <v>1024709.55</v>
      </c>
    </row>
    <row r="26" spans="1:7" ht="15" x14ac:dyDescent="0.25">
      <c r="A26" s="60">
        <f t="shared" si="0"/>
        <v>17</v>
      </c>
      <c r="B26" s="102" t="s">
        <v>305</v>
      </c>
      <c r="C26" s="158">
        <v>128695.9</v>
      </c>
      <c r="D26" s="100"/>
      <c r="E26" s="158">
        <v>0</v>
      </c>
      <c r="F26" s="100"/>
      <c r="G26" s="100">
        <f>SUM(C26:F26)</f>
        <v>128695.9</v>
      </c>
    </row>
    <row r="27" spans="1:7" ht="15.75" thickBot="1" x14ac:dyDescent="0.3">
      <c r="A27" s="60">
        <f t="shared" si="0"/>
        <v>18</v>
      </c>
      <c r="B27" s="102" t="s">
        <v>306</v>
      </c>
      <c r="C27" s="104">
        <f>+C24+C25-C26</f>
        <v>7659556.129999999</v>
      </c>
      <c r="D27" s="100"/>
      <c r="E27" s="104">
        <f>+E24+E25-E26</f>
        <v>132493.75</v>
      </c>
      <c r="F27" s="100"/>
      <c r="G27" s="104">
        <f>+G24+G25-G26</f>
        <v>7792049.879999999</v>
      </c>
    </row>
    <row r="28" spans="1:7" ht="15.75" thickTop="1" x14ac:dyDescent="0.25">
      <c r="A28" s="60">
        <f t="shared" si="0"/>
        <v>19</v>
      </c>
      <c r="B28" s="102"/>
      <c r="C28" s="100"/>
      <c r="D28" s="100"/>
      <c r="E28" s="100"/>
      <c r="F28" s="100"/>
      <c r="G28" s="100"/>
    </row>
    <row r="29" spans="1:7" ht="15" x14ac:dyDescent="0.25">
      <c r="A29" s="60">
        <f t="shared" si="0"/>
        <v>20</v>
      </c>
      <c r="B29" s="102"/>
      <c r="C29" s="105" t="s">
        <v>27</v>
      </c>
      <c r="D29" s="100"/>
      <c r="E29" s="105" t="s">
        <v>27</v>
      </c>
      <c r="F29" s="100"/>
      <c r="G29" s="105" t="s">
        <v>27</v>
      </c>
    </row>
    <row r="30" spans="1:7" ht="15" x14ac:dyDescent="0.25">
      <c r="A30" s="60">
        <f t="shared" si="0"/>
        <v>21</v>
      </c>
      <c r="B30" s="102" t="s">
        <v>303</v>
      </c>
      <c r="C30" s="158">
        <v>459747.08</v>
      </c>
      <c r="D30" s="100"/>
      <c r="E30" s="158">
        <v>0</v>
      </c>
      <c r="F30" s="100"/>
      <c r="G30" s="100">
        <f>SUM(C30:F30)</f>
        <v>459747.08</v>
      </c>
    </row>
    <row r="31" spans="1:7" ht="15" x14ac:dyDescent="0.25">
      <c r="A31" s="60">
        <f t="shared" si="0"/>
        <v>22</v>
      </c>
      <c r="B31" s="102" t="s">
        <v>304</v>
      </c>
      <c r="C31" s="158">
        <v>0</v>
      </c>
      <c r="D31" s="100"/>
      <c r="E31" s="158">
        <v>0</v>
      </c>
      <c r="F31" s="100"/>
      <c r="G31" s="100">
        <f>SUM(C31:F31)</f>
        <v>0</v>
      </c>
    </row>
    <row r="32" spans="1:7" ht="15" x14ac:dyDescent="0.25">
      <c r="A32" s="60">
        <f t="shared" si="0"/>
        <v>23</v>
      </c>
      <c r="B32" s="102" t="s">
        <v>305</v>
      </c>
      <c r="C32" s="158">
        <v>14884.23</v>
      </c>
      <c r="D32" s="100"/>
      <c r="E32" s="158">
        <v>0</v>
      </c>
      <c r="F32" s="100"/>
      <c r="G32" s="100">
        <f>SUM(C32:F32)</f>
        <v>14884.23</v>
      </c>
    </row>
    <row r="33" spans="1:10" ht="15.75" thickBot="1" x14ac:dyDescent="0.3">
      <c r="A33" s="60">
        <f t="shared" si="0"/>
        <v>24</v>
      </c>
      <c r="B33" s="102" t="s">
        <v>306</v>
      </c>
      <c r="C33" s="104">
        <f>+C30+C31-C32</f>
        <v>444862.85000000003</v>
      </c>
      <c r="D33" s="100"/>
      <c r="E33" s="104">
        <f>+E30+E31-E32</f>
        <v>0</v>
      </c>
      <c r="F33" s="100"/>
      <c r="G33" s="104">
        <f>+G30+G31-G32</f>
        <v>444862.85000000003</v>
      </c>
    </row>
    <row r="34" spans="1:10" ht="15.75" thickTop="1" x14ac:dyDescent="0.25">
      <c r="A34" s="60">
        <f t="shared" si="0"/>
        <v>25</v>
      </c>
      <c r="B34" s="102"/>
      <c r="C34" s="100"/>
      <c r="D34" s="100"/>
      <c r="E34" s="100"/>
      <c r="F34" s="100"/>
      <c r="G34" s="100"/>
    </row>
    <row r="35" spans="1:10" ht="15" x14ac:dyDescent="0.25">
      <c r="A35" s="60">
        <f t="shared" si="0"/>
        <v>26</v>
      </c>
      <c r="B35" s="102"/>
      <c r="C35" s="106" t="s">
        <v>25</v>
      </c>
      <c r="D35" s="100"/>
      <c r="E35" s="106" t="s">
        <v>25</v>
      </c>
      <c r="F35" s="100"/>
      <c r="G35" s="106" t="s">
        <v>25</v>
      </c>
    </row>
    <row r="36" spans="1:10" ht="15" x14ac:dyDescent="0.25">
      <c r="A36" s="60">
        <f t="shared" si="0"/>
        <v>27</v>
      </c>
      <c r="B36" s="102" t="s">
        <v>303</v>
      </c>
      <c r="C36" s="158">
        <v>14758140.550000001</v>
      </c>
      <c r="D36" s="100"/>
      <c r="E36" s="158">
        <v>7609287.1699999999</v>
      </c>
      <c r="F36" s="100"/>
      <c r="G36" s="100">
        <f>SUM(C36:F36)</f>
        <v>22367427.719999999</v>
      </c>
    </row>
    <row r="37" spans="1:10" ht="15" x14ac:dyDescent="0.25">
      <c r="A37" s="60">
        <f t="shared" si="0"/>
        <v>28</v>
      </c>
      <c r="B37" s="102" t="s">
        <v>304</v>
      </c>
      <c r="C37" s="158">
        <f>8009548.17</f>
        <v>8009548.1699999999</v>
      </c>
      <c r="D37" s="100"/>
      <c r="E37" s="158">
        <f>159521.36-7420722.81</f>
        <v>-7261201.4499999993</v>
      </c>
      <c r="F37" s="100"/>
      <c r="G37" s="100">
        <f>SUM(C37:F37)</f>
        <v>748346.72000000067</v>
      </c>
      <c r="J37" s="166"/>
    </row>
    <row r="38" spans="1:10" ht="15" x14ac:dyDescent="0.25">
      <c r="A38" s="60">
        <f t="shared" si="0"/>
        <v>29</v>
      </c>
      <c r="B38" s="102" t="s">
        <v>305</v>
      </c>
      <c r="C38" s="158">
        <v>926144.46</v>
      </c>
      <c r="D38" s="100"/>
      <c r="E38" s="158">
        <v>0</v>
      </c>
      <c r="F38" s="100"/>
      <c r="G38" s="100">
        <f>SUM(C38:F38)</f>
        <v>926144.46</v>
      </c>
    </row>
    <row r="39" spans="1:10" ht="15.75" thickBot="1" x14ac:dyDescent="0.3">
      <c r="A39" s="60">
        <f t="shared" si="0"/>
        <v>30</v>
      </c>
      <c r="B39" s="102" t="s">
        <v>306</v>
      </c>
      <c r="C39" s="104">
        <f>+C36+C37-C38</f>
        <v>21841544.259999998</v>
      </c>
      <c r="D39" s="100"/>
      <c r="E39" s="104">
        <f>+E36+E37-E38</f>
        <v>348085.72000000067</v>
      </c>
      <c r="F39" s="100"/>
      <c r="G39" s="104">
        <f>+G36+G37-G38</f>
        <v>22189629.979999997</v>
      </c>
    </row>
    <row r="40" spans="1:10" ht="15.75" thickTop="1" x14ac:dyDescent="0.25">
      <c r="A40" s="60">
        <f t="shared" si="0"/>
        <v>31</v>
      </c>
      <c r="B40" s="102"/>
      <c r="C40" s="100"/>
      <c r="D40" s="100"/>
      <c r="E40" s="100"/>
      <c r="F40" s="100"/>
      <c r="G40" s="100"/>
    </row>
    <row r="41" spans="1:10" ht="15" x14ac:dyDescent="0.25">
      <c r="A41" s="60">
        <f t="shared" si="0"/>
        <v>32</v>
      </c>
      <c r="B41" s="102"/>
      <c r="C41" s="105" t="s">
        <v>42</v>
      </c>
      <c r="D41" s="100"/>
      <c r="E41" s="105" t="s">
        <v>42</v>
      </c>
      <c r="F41" s="100"/>
      <c r="G41" s="105" t="s">
        <v>42</v>
      </c>
    </row>
    <row r="42" spans="1:10" ht="15" x14ac:dyDescent="0.25">
      <c r="A42" s="60">
        <f t="shared" si="0"/>
        <v>33</v>
      </c>
      <c r="B42" s="102" t="s">
        <v>303</v>
      </c>
      <c r="C42" s="158">
        <v>20205957.010000002</v>
      </c>
      <c r="D42" s="100"/>
      <c r="E42" s="158">
        <v>112749.6</v>
      </c>
      <c r="F42" s="100"/>
      <c r="G42" s="100">
        <f>SUM(C42:F42)</f>
        <v>20318706.610000003</v>
      </c>
    </row>
    <row r="43" spans="1:10" ht="15" x14ac:dyDescent="0.25">
      <c r="A43" s="60">
        <f t="shared" si="0"/>
        <v>34</v>
      </c>
      <c r="B43" s="102" t="s">
        <v>304</v>
      </c>
      <c r="C43" s="158">
        <f>1547912.52</f>
        <v>1547912.52</v>
      </c>
      <c r="D43" s="100"/>
      <c r="E43" s="158">
        <f>1825403.09-112749.6</f>
        <v>1712653.49</v>
      </c>
      <c r="F43" s="100"/>
      <c r="G43" s="100">
        <f>SUM(C43:F43)</f>
        <v>3260566.01</v>
      </c>
    </row>
    <row r="44" spans="1:10" ht="15" x14ac:dyDescent="0.25">
      <c r="A44" s="60">
        <f t="shared" si="0"/>
        <v>35</v>
      </c>
      <c r="B44" s="102" t="s">
        <v>305</v>
      </c>
      <c r="C44" s="158">
        <v>849889.37</v>
      </c>
      <c r="D44" s="100"/>
      <c r="E44" s="158">
        <v>0</v>
      </c>
      <c r="F44" s="100"/>
      <c r="G44" s="100">
        <f>SUM(C44:F44)</f>
        <v>849889.37</v>
      </c>
    </row>
    <row r="45" spans="1:10" ht="15.75" thickBot="1" x14ac:dyDescent="0.3">
      <c r="A45" s="60">
        <f t="shared" si="0"/>
        <v>36</v>
      </c>
      <c r="B45" s="102" t="s">
        <v>306</v>
      </c>
      <c r="C45" s="104">
        <f>+C42+C43-C44</f>
        <v>20903980.16</v>
      </c>
      <c r="D45" s="100"/>
      <c r="E45" s="104">
        <f>+E42+E43-E44</f>
        <v>1825403.09</v>
      </c>
      <c r="F45" s="100"/>
      <c r="G45" s="104">
        <f>+G42+G43-G44</f>
        <v>22729383.250000004</v>
      </c>
    </row>
    <row r="46" spans="1:10" ht="15.75" thickTop="1" x14ac:dyDescent="0.25">
      <c r="C46" s="123"/>
      <c r="D46" s="123"/>
      <c r="E46" s="123"/>
      <c r="F46" s="123"/>
      <c r="G46" s="123"/>
    </row>
    <row r="47" spans="1:10" ht="15" x14ac:dyDescent="0.25">
      <c r="C47" s="123"/>
      <c r="D47" s="123"/>
      <c r="E47" s="123"/>
      <c r="F47" s="123"/>
      <c r="G47" s="123"/>
    </row>
    <row r="48" spans="1:10" ht="15" x14ac:dyDescent="0.25">
      <c r="C48" s="123"/>
      <c r="D48" s="123"/>
      <c r="E48" s="123"/>
      <c r="F48" s="123"/>
      <c r="G48" s="123"/>
    </row>
    <row r="49" spans="3:7" ht="15" x14ac:dyDescent="0.25">
      <c r="C49" s="123"/>
      <c r="D49" s="123"/>
      <c r="E49" s="123"/>
      <c r="F49" s="123"/>
      <c r="G49" s="123"/>
    </row>
    <row r="50" spans="3:7" ht="15" x14ac:dyDescent="0.25">
      <c r="C50" s="123"/>
      <c r="D50" s="123"/>
      <c r="E50" s="123"/>
      <c r="F50" s="123"/>
      <c r="G50" s="123"/>
    </row>
    <row r="51" spans="3:7" ht="15" x14ac:dyDescent="0.25">
      <c r="C51" s="123"/>
      <c r="D51" s="123"/>
      <c r="E51" s="123"/>
      <c r="F51" s="123"/>
      <c r="G51" s="123"/>
    </row>
    <row r="52" spans="3:7" ht="15" x14ac:dyDescent="0.25">
      <c r="C52" s="123"/>
      <c r="D52" s="123"/>
      <c r="E52" s="123"/>
      <c r="F52" s="123"/>
      <c r="G52" s="123"/>
    </row>
    <row r="53" spans="3:7" ht="15" x14ac:dyDescent="0.25">
      <c r="C53" s="123"/>
      <c r="D53" s="123"/>
      <c r="E53" s="123"/>
      <c r="F53" s="123"/>
      <c r="G53" s="123"/>
    </row>
    <row r="54" spans="3:7" ht="15" x14ac:dyDescent="0.25">
      <c r="C54" s="123"/>
      <c r="D54" s="123"/>
      <c r="E54" s="123"/>
      <c r="F54" s="123"/>
      <c r="G54" s="123"/>
    </row>
    <row r="55" spans="3:7" ht="15" x14ac:dyDescent="0.25">
      <c r="C55" s="123"/>
      <c r="D55" s="123"/>
      <c r="E55" s="123"/>
      <c r="F55" s="123"/>
      <c r="G55" s="123"/>
    </row>
    <row r="56" spans="3:7" ht="15" x14ac:dyDescent="0.25">
      <c r="C56" s="123"/>
      <c r="D56" s="123"/>
      <c r="E56" s="123"/>
      <c r="F56" s="123"/>
      <c r="G56" s="123"/>
    </row>
    <row r="57" spans="3:7" ht="15" x14ac:dyDescent="0.25">
      <c r="C57" s="123"/>
      <c r="D57" s="123"/>
      <c r="E57" s="123"/>
      <c r="F57" s="123"/>
      <c r="G57" s="123"/>
    </row>
    <row r="58" spans="3:7" ht="15" x14ac:dyDescent="0.25">
      <c r="C58" s="123"/>
      <c r="D58" s="123"/>
      <c r="E58" s="123"/>
      <c r="F58" s="123"/>
      <c r="G58" s="123"/>
    </row>
    <row r="59" spans="3:7" ht="15" x14ac:dyDescent="0.25">
      <c r="C59" s="123"/>
      <c r="D59" s="123"/>
      <c r="E59" s="123"/>
      <c r="F59" s="123"/>
      <c r="G59" s="123"/>
    </row>
    <row r="60" spans="3:7" ht="15" x14ac:dyDescent="0.25">
      <c r="C60" s="123"/>
      <c r="D60" s="123"/>
      <c r="E60" s="123"/>
      <c r="F60" s="123"/>
      <c r="G60" s="123"/>
    </row>
    <row r="61" spans="3:7" ht="15" x14ac:dyDescent="0.25">
      <c r="C61" s="123"/>
      <c r="D61" s="123"/>
      <c r="E61" s="123"/>
      <c r="F61" s="123"/>
      <c r="G61" s="123"/>
    </row>
    <row r="62" spans="3:7" ht="15" x14ac:dyDescent="0.25">
      <c r="C62" s="123"/>
      <c r="D62" s="123"/>
      <c r="E62" s="123"/>
      <c r="F62" s="123"/>
      <c r="G62" s="123"/>
    </row>
    <row r="63" spans="3:7" ht="15" x14ac:dyDescent="0.25">
      <c r="C63" s="123"/>
      <c r="D63" s="123"/>
      <c r="E63" s="123"/>
      <c r="F63" s="123"/>
      <c r="G63" s="123"/>
    </row>
    <row r="64" spans="3:7" ht="15" x14ac:dyDescent="0.25">
      <c r="C64" s="123"/>
      <c r="D64" s="123"/>
      <c r="E64" s="123"/>
      <c r="F64" s="123"/>
      <c r="G64" s="123"/>
    </row>
    <row r="65" spans="3:7" ht="15" x14ac:dyDescent="0.25">
      <c r="C65" s="123"/>
      <c r="D65" s="123"/>
      <c r="E65" s="123"/>
      <c r="F65" s="123"/>
      <c r="G65" s="123"/>
    </row>
    <row r="66" spans="3:7" ht="15" x14ac:dyDescent="0.25">
      <c r="C66" s="123"/>
      <c r="D66" s="123"/>
      <c r="E66" s="123"/>
      <c r="F66" s="123"/>
      <c r="G66" s="123"/>
    </row>
    <row r="67" spans="3:7" ht="15" x14ac:dyDescent="0.25">
      <c r="C67" s="123"/>
      <c r="D67" s="123"/>
      <c r="E67" s="123"/>
      <c r="F67" s="123"/>
      <c r="G67" s="123"/>
    </row>
  </sheetData>
  <mergeCells count="3">
    <mergeCell ref="A1:G1"/>
    <mergeCell ref="A2:G2"/>
    <mergeCell ref="A3:G3"/>
  </mergeCells>
  <pageMargins left="1.25" right="0.5" top="1" bottom="1" header="0.5" footer="0.5"/>
  <pageSetup scale="71" orientation="landscape" horizontalDpi="4294967292" verticalDpi="4294967292" r:id="rId1"/>
  <headerFooter alignWithMargins="0">
    <oddHeader>&amp;RSchedule I1.0</oddHeader>
    <oddFooter>&amp;L&amp;9&amp;Z&amp;F\&amp;A&amp;R&amp;D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Normal="100" zoomScaleSheetLayoutView="130" workbookViewId="0">
      <selection sqref="A1:I1"/>
    </sheetView>
  </sheetViews>
  <sheetFormatPr defaultRowHeight="15" x14ac:dyDescent="0.25"/>
  <cols>
    <col min="1" max="1" width="19" customWidth="1"/>
    <col min="2" max="2" width="4"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7" x14ac:dyDescent="0.25">
      <c r="A1" s="186" t="s">
        <v>33</v>
      </c>
      <c r="B1" s="186"/>
      <c r="C1" s="186"/>
      <c r="D1" s="186"/>
      <c r="E1" s="186"/>
      <c r="F1" s="186"/>
      <c r="G1" s="186"/>
      <c r="H1" s="186"/>
      <c r="I1" s="186"/>
    </row>
    <row r="2" spans="1:17" x14ac:dyDescent="0.25">
      <c r="A2" s="186" t="s">
        <v>332</v>
      </c>
      <c r="B2" s="186"/>
      <c r="C2" s="186"/>
      <c r="D2" s="186"/>
      <c r="E2" s="186"/>
      <c r="F2" s="186"/>
      <c r="G2" s="186"/>
      <c r="H2" s="186"/>
      <c r="I2" s="186"/>
    </row>
    <row r="3" spans="1:17" x14ac:dyDescent="0.25">
      <c r="A3" s="65"/>
    </row>
    <row r="4" spans="1:17" x14ac:dyDescent="0.25">
      <c r="A4" s="65" t="s">
        <v>420</v>
      </c>
    </row>
    <row r="5" spans="1:17" x14ac:dyDescent="0.25">
      <c r="B5" t="s">
        <v>333</v>
      </c>
    </row>
    <row r="6" spans="1:17" x14ac:dyDescent="0.25">
      <c r="B6" t="s">
        <v>334</v>
      </c>
    </row>
    <row r="7" spans="1:17" x14ac:dyDescent="0.25">
      <c r="B7" t="s">
        <v>335</v>
      </c>
    </row>
    <row r="8" spans="1:17" x14ac:dyDescent="0.25">
      <c r="B8" t="s">
        <v>336</v>
      </c>
    </row>
    <row r="9" spans="1:17" x14ac:dyDescent="0.25">
      <c r="B9" t="s">
        <v>337</v>
      </c>
      <c r="C9" t="s">
        <v>338</v>
      </c>
    </row>
    <row r="10" spans="1:17" x14ac:dyDescent="0.25">
      <c r="C10" t="s">
        <v>339</v>
      </c>
    </row>
    <row r="12" spans="1:17" x14ac:dyDescent="0.25">
      <c r="A12" t="s">
        <v>453</v>
      </c>
    </row>
    <row r="14" spans="1:17" x14ac:dyDescent="0.25">
      <c r="P14" t="s">
        <v>340</v>
      </c>
    </row>
    <row r="15" spans="1:17" x14ac:dyDescent="0.25">
      <c r="E15" t="s">
        <v>341</v>
      </c>
      <c r="I15" t="s">
        <v>342</v>
      </c>
      <c r="M15" t="s">
        <v>343</v>
      </c>
      <c r="P15" t="s">
        <v>344</v>
      </c>
    </row>
    <row r="16" spans="1:17" x14ac:dyDescent="0.25">
      <c r="B16" t="s">
        <v>40</v>
      </c>
      <c r="C16" t="s">
        <v>345</v>
      </c>
      <c r="E16" t="s">
        <v>39</v>
      </c>
      <c r="F16" t="s">
        <v>41</v>
      </c>
      <c r="G16" t="s">
        <v>184</v>
      </c>
      <c r="I16" t="s">
        <v>39</v>
      </c>
      <c r="J16" t="s">
        <v>41</v>
      </c>
      <c r="K16" t="s">
        <v>184</v>
      </c>
      <c r="M16" t="s">
        <v>39</v>
      </c>
      <c r="N16" t="s">
        <v>41</v>
      </c>
      <c r="P16" t="s">
        <v>39</v>
      </c>
      <c r="Q16" t="s">
        <v>41</v>
      </c>
    </row>
    <row r="17" spans="1:17" x14ac:dyDescent="0.25">
      <c r="C17" s="15" t="s">
        <v>117</v>
      </c>
      <c r="E17" s="15" t="s">
        <v>117</v>
      </c>
      <c r="F17" s="15" t="s">
        <v>117</v>
      </c>
      <c r="G17" s="15" t="s">
        <v>117</v>
      </c>
      <c r="I17" s="15" t="s">
        <v>117</v>
      </c>
      <c r="J17" s="15" t="s">
        <v>117</v>
      </c>
      <c r="K17" s="15" t="s">
        <v>117</v>
      </c>
      <c r="M17" s="15" t="s">
        <v>117</v>
      </c>
      <c r="N17" s="15" t="s">
        <v>117</v>
      </c>
      <c r="P17" s="15" t="s">
        <v>117</v>
      </c>
      <c r="Q17" s="15" t="s">
        <v>117</v>
      </c>
    </row>
    <row r="18" spans="1:17" x14ac:dyDescent="0.25">
      <c r="A18" t="s">
        <v>346</v>
      </c>
      <c r="B18" t="s">
        <v>347</v>
      </c>
      <c r="C18" s="93">
        <v>241001.57000000004</v>
      </c>
      <c r="D18" s="92"/>
      <c r="E18" s="93">
        <v>6436.98</v>
      </c>
      <c r="F18" s="93">
        <v>181922.27000000002</v>
      </c>
      <c r="G18" s="93">
        <v>52642.32</v>
      </c>
      <c r="H18" s="95"/>
      <c r="I18" s="94">
        <v>2.6709286582655867E-2</v>
      </c>
      <c r="J18" s="94">
        <v>0.75485927332340608</v>
      </c>
      <c r="K18" s="94">
        <v>0.21843144009393795</v>
      </c>
      <c r="L18" s="95"/>
      <c r="M18" s="93">
        <v>8235.9761257203972</v>
      </c>
      <c r="N18" s="93">
        <v>232765.59387427961</v>
      </c>
      <c r="O18" s="95"/>
      <c r="P18" s="94">
        <v>3.4173952168529011E-2</v>
      </c>
      <c r="Q18" s="94">
        <v>0.96582604783147086</v>
      </c>
    </row>
    <row r="19" spans="1:17" x14ac:dyDescent="0.25">
      <c r="A19" t="s">
        <v>348</v>
      </c>
      <c r="B19" t="s">
        <v>347</v>
      </c>
      <c r="C19" s="93">
        <v>104771.63000000002</v>
      </c>
      <c r="D19" s="92"/>
      <c r="E19" s="93">
        <v>3960</v>
      </c>
      <c r="F19" s="93">
        <v>79258.710000000021</v>
      </c>
      <c r="G19" s="93">
        <v>21552.92</v>
      </c>
      <c r="H19" s="95"/>
      <c r="I19" s="94">
        <v>3.7796491282993297E-2</v>
      </c>
      <c r="J19" s="94">
        <v>0.75649018727684203</v>
      </c>
      <c r="K19" s="94">
        <v>0.2057133214401646</v>
      </c>
      <c r="L19" s="95"/>
      <c r="M19" s="93">
        <v>4985.6054581956387</v>
      </c>
      <c r="N19" s="93">
        <v>99786.024541804378</v>
      </c>
      <c r="O19" s="95"/>
      <c r="P19" s="94">
        <v>4.7585452838670522E-2</v>
      </c>
      <c r="Q19" s="94">
        <v>0.95241454716132945</v>
      </c>
    </row>
    <row r="20" spans="1:17" x14ac:dyDescent="0.25">
      <c r="A20" t="s">
        <v>349</v>
      </c>
      <c r="B20" t="s">
        <v>347</v>
      </c>
      <c r="C20" s="93">
        <v>147514.32</v>
      </c>
      <c r="D20" s="92"/>
      <c r="E20" s="93">
        <v>9232.18</v>
      </c>
      <c r="F20" s="93">
        <v>112288.89</v>
      </c>
      <c r="G20" s="93">
        <v>25993.25</v>
      </c>
      <c r="H20" s="95"/>
      <c r="I20" s="94">
        <v>6.2584974801090501E-2</v>
      </c>
      <c r="J20" s="94">
        <v>0.76120670860971329</v>
      </c>
      <c r="K20" s="94">
        <v>0.17620831658919622</v>
      </c>
      <c r="L20" s="95"/>
      <c r="M20" s="93">
        <v>11206.935182660916</v>
      </c>
      <c r="N20" s="93">
        <v>136307.38481733907</v>
      </c>
      <c r="O20" s="95"/>
      <c r="P20" s="94">
        <v>7.5971845870020732E-2</v>
      </c>
      <c r="Q20" s="94">
        <v>0.92402815412997918</v>
      </c>
    </row>
    <row r="21" spans="1:17" x14ac:dyDescent="0.25">
      <c r="A21" t="s">
        <v>350</v>
      </c>
      <c r="B21" t="s">
        <v>351</v>
      </c>
      <c r="C21" s="93">
        <v>415374.57999999984</v>
      </c>
      <c r="D21" s="92"/>
      <c r="E21" s="93">
        <v>29137.25</v>
      </c>
      <c r="F21" s="93">
        <v>184395.63000000006</v>
      </c>
      <c r="G21" s="93">
        <v>201841.7</v>
      </c>
      <c r="H21" s="95"/>
      <c r="I21" s="94">
        <v>7.0146926179257316E-2</v>
      </c>
      <c r="J21" s="94">
        <v>0.44392613048203416</v>
      </c>
      <c r="K21" s="94">
        <v>0.48592694333870912</v>
      </c>
      <c r="L21" s="95"/>
      <c r="M21" s="93">
        <v>56679.200791489347</v>
      </c>
      <c r="N21" s="93">
        <v>358695.37920851074</v>
      </c>
      <c r="O21" s="95"/>
      <c r="P21" s="94">
        <v>0.13645322444018931</v>
      </c>
      <c r="Q21" s="94">
        <v>0.8635467755598113</v>
      </c>
    </row>
    <row r="22" spans="1:17" x14ac:dyDescent="0.25">
      <c r="A22" t="s">
        <v>352</v>
      </c>
      <c r="B22" t="s">
        <v>347</v>
      </c>
      <c r="C22" s="93">
        <v>534034.78999999992</v>
      </c>
      <c r="D22" s="92"/>
      <c r="E22" s="93">
        <v>50473.495999999999</v>
      </c>
      <c r="F22" s="93">
        <v>383881.58399999997</v>
      </c>
      <c r="G22" s="93">
        <v>99679.71</v>
      </c>
      <c r="H22" s="95"/>
      <c r="I22" s="94">
        <v>9.4513497894022983E-2</v>
      </c>
      <c r="J22" s="94">
        <v>0.71883253898121513</v>
      </c>
      <c r="K22" s="94">
        <v>0.18665396312476201</v>
      </c>
      <c r="L22" s="95"/>
      <c r="M22" s="93">
        <v>62056.607780265491</v>
      </c>
      <c r="N22" s="93">
        <v>471978.18221973447</v>
      </c>
      <c r="O22" s="95"/>
      <c r="P22" s="94">
        <v>0.11620330536942265</v>
      </c>
      <c r="Q22" s="94">
        <v>0.88379669463057742</v>
      </c>
    </row>
    <row r="23" spans="1:17" x14ac:dyDescent="0.25">
      <c r="A23" t="s">
        <v>353</v>
      </c>
      <c r="B23" t="s">
        <v>351</v>
      </c>
      <c r="C23" s="93">
        <v>4572.8500000000004</v>
      </c>
      <c r="D23" s="92"/>
      <c r="E23" s="93">
        <v>0</v>
      </c>
      <c r="F23" s="93">
        <v>2541.4</v>
      </c>
      <c r="G23" s="93">
        <v>2031.45</v>
      </c>
      <c r="H23" s="95"/>
      <c r="I23" s="94">
        <v>0</v>
      </c>
      <c r="J23" s="94">
        <v>0.55575844385886264</v>
      </c>
      <c r="K23" s="94">
        <v>0.44424155614113736</v>
      </c>
      <c r="L23" s="95"/>
      <c r="M23" s="93">
        <v>0</v>
      </c>
      <c r="N23" s="93">
        <v>4572.8500000000004</v>
      </c>
      <c r="O23" s="95"/>
      <c r="P23" s="94">
        <v>0</v>
      </c>
      <c r="Q23" s="94">
        <v>1</v>
      </c>
    </row>
    <row r="24" spans="1:17" x14ac:dyDescent="0.25">
      <c r="A24" t="s">
        <v>354</v>
      </c>
      <c r="B24" t="s">
        <v>351</v>
      </c>
      <c r="C24" s="93">
        <v>841841.37</v>
      </c>
      <c r="D24" s="92"/>
      <c r="E24" s="93">
        <v>95450.47</v>
      </c>
      <c r="F24" s="93">
        <v>574401.28000000003</v>
      </c>
      <c r="G24" s="93">
        <v>171989.62</v>
      </c>
      <c r="H24" s="95"/>
      <c r="I24" s="94">
        <v>0.11338296429884409</v>
      </c>
      <c r="J24" s="94">
        <v>0.68231533929010879</v>
      </c>
      <c r="K24" s="94">
        <v>0.20430169641104712</v>
      </c>
      <c r="L24" s="95"/>
      <c r="M24" s="93">
        <v>119958.11675037633</v>
      </c>
      <c r="N24" s="93">
        <v>721883.2532496237</v>
      </c>
      <c r="O24" s="95"/>
      <c r="P24" s="94">
        <v>0.14249491771873402</v>
      </c>
      <c r="Q24" s="94">
        <v>0.85750508228126598</v>
      </c>
    </row>
    <row r="25" spans="1:17" x14ac:dyDescent="0.25">
      <c r="A25" t="s">
        <v>355</v>
      </c>
      <c r="B25" t="s">
        <v>351</v>
      </c>
      <c r="C25" s="93">
        <v>387838.85000000003</v>
      </c>
      <c r="D25" s="92"/>
      <c r="E25" s="93">
        <v>35008.47</v>
      </c>
      <c r="F25" s="93">
        <v>237406.5</v>
      </c>
      <c r="G25" s="93">
        <v>115423.88</v>
      </c>
      <c r="H25" s="95"/>
      <c r="I25" s="94">
        <v>9.0265505892460227E-2</v>
      </c>
      <c r="J25" s="94">
        <v>0.61212666033843688</v>
      </c>
      <c r="K25" s="94">
        <v>0.29760783376910277</v>
      </c>
      <c r="L25" s="95"/>
      <c r="M25" s="93">
        <v>49841.771709754059</v>
      </c>
      <c r="N25" s="93">
        <v>337997.07829024596</v>
      </c>
      <c r="O25" s="95"/>
      <c r="P25" s="94">
        <v>0.12851154986086116</v>
      </c>
      <c r="Q25" s="94">
        <v>0.87148845013913878</v>
      </c>
    </row>
    <row r="26" spans="1:17" x14ac:dyDescent="0.25">
      <c r="A26" t="s">
        <v>356</v>
      </c>
      <c r="B26" t="s">
        <v>351</v>
      </c>
      <c r="C26" s="93">
        <v>224587.79999999996</v>
      </c>
      <c r="D26" s="92"/>
      <c r="E26" s="93">
        <v>57897.85</v>
      </c>
      <c r="F26" s="93">
        <v>141773.96</v>
      </c>
      <c r="G26" s="93">
        <v>24915.989999999998</v>
      </c>
      <c r="H26" s="95"/>
      <c r="I26" s="94">
        <v>0.2577960601599909</v>
      </c>
      <c r="J26" s="94">
        <v>0.63126296263643888</v>
      </c>
      <c r="K26" s="94">
        <v>0.11094097720357028</v>
      </c>
      <c r="L26" s="95"/>
      <c r="M26" s="93">
        <v>65122.616739088007</v>
      </c>
      <c r="N26" s="93">
        <v>159465.18326091199</v>
      </c>
      <c r="O26" s="95"/>
      <c r="P26" s="94">
        <v>0.28996506817862777</v>
      </c>
      <c r="Q26" s="94">
        <v>0.71003493182137234</v>
      </c>
    </row>
    <row r="27" spans="1:17" x14ac:dyDescent="0.25">
      <c r="A27" t="s">
        <v>357</v>
      </c>
      <c r="B27" t="s">
        <v>351</v>
      </c>
      <c r="C27" s="93">
        <v>63935.15</v>
      </c>
      <c r="D27" s="92"/>
      <c r="E27" s="93">
        <v>2832.21</v>
      </c>
      <c r="F27" s="93">
        <v>45031.72</v>
      </c>
      <c r="G27" s="93">
        <v>16071.22</v>
      </c>
      <c r="H27" s="95"/>
      <c r="I27" s="94">
        <v>4.4298167752793258E-2</v>
      </c>
      <c r="J27" s="94">
        <v>0.70433431375385835</v>
      </c>
      <c r="K27" s="94">
        <v>0.25136751849334832</v>
      </c>
      <c r="L27" s="95"/>
      <c r="M27" s="93">
        <v>3783.1780879986245</v>
      </c>
      <c r="N27" s="93">
        <v>60151.971912001376</v>
      </c>
      <c r="O27" s="95"/>
      <c r="P27" s="94">
        <v>5.9172115620259348E-2</v>
      </c>
      <c r="Q27" s="94">
        <v>0.94082788437974063</v>
      </c>
    </row>
    <row r="28" spans="1:17" x14ac:dyDescent="0.25">
      <c r="A28" t="s">
        <v>358</v>
      </c>
      <c r="B28" t="s">
        <v>351</v>
      </c>
      <c r="C28" s="93">
        <v>142798.63</v>
      </c>
      <c r="D28" s="92"/>
      <c r="E28" s="93">
        <v>3262.8799999999997</v>
      </c>
      <c r="F28" s="93">
        <v>130813.33000000002</v>
      </c>
      <c r="G28" s="93">
        <v>8722.42</v>
      </c>
      <c r="H28" s="95"/>
      <c r="I28" s="94">
        <v>2.2849518934460362E-2</v>
      </c>
      <c r="J28" s="94">
        <v>0.91606852250613335</v>
      </c>
      <c r="K28" s="94">
        <v>6.1081958559406346E-2</v>
      </c>
      <c r="L28" s="95"/>
      <c r="M28" s="93">
        <v>3475.1489011689691</v>
      </c>
      <c r="N28" s="93">
        <v>139323.48109883105</v>
      </c>
      <c r="O28" s="95"/>
      <c r="P28" s="94">
        <v>2.4336010094557412E-2</v>
      </c>
      <c r="Q28" s="94">
        <v>0.97566398990544267</v>
      </c>
    </row>
    <row r="29" spans="1:17" x14ac:dyDescent="0.25">
      <c r="A29" t="s">
        <v>359</v>
      </c>
      <c r="B29" t="s">
        <v>351</v>
      </c>
      <c r="C29" s="93">
        <v>227512</v>
      </c>
      <c r="D29" s="92"/>
      <c r="E29" s="93">
        <v>13400</v>
      </c>
      <c r="F29" s="93">
        <v>149190</v>
      </c>
      <c r="G29" s="93">
        <v>64922</v>
      </c>
      <c r="H29" s="95"/>
      <c r="I29" s="94">
        <v>5.8897992193818346E-2</v>
      </c>
      <c r="J29" s="94">
        <v>0.65574563099968353</v>
      </c>
      <c r="K29" s="94">
        <v>0.28535637680649811</v>
      </c>
      <c r="L29" s="95"/>
      <c r="M29" s="93">
        <v>18750.60458822806</v>
      </c>
      <c r="N29" s="93">
        <v>208761.39541177195</v>
      </c>
      <c r="O29" s="95"/>
      <c r="P29" s="94">
        <v>8.2415892736330654E-2</v>
      </c>
      <c r="Q29" s="94">
        <v>0.91758410726366946</v>
      </c>
    </row>
    <row r="30" spans="1:17" x14ac:dyDescent="0.25">
      <c r="A30" t="s">
        <v>360</v>
      </c>
      <c r="B30" t="s">
        <v>351</v>
      </c>
      <c r="C30" s="93">
        <v>448782.1399999999</v>
      </c>
      <c r="D30" s="92"/>
      <c r="E30" s="93">
        <v>14097.5</v>
      </c>
      <c r="F30" s="93">
        <v>371410.41499999998</v>
      </c>
      <c r="G30" s="93">
        <v>63274.224999999999</v>
      </c>
      <c r="H30" s="95"/>
      <c r="I30" s="94">
        <v>3.1412791961819168E-2</v>
      </c>
      <c r="J30" s="94">
        <v>0.82759624747990213</v>
      </c>
      <c r="K30" s="94">
        <v>0.14099096055827892</v>
      </c>
      <c r="L30" s="95"/>
      <c r="M30" s="93">
        <v>16411.352328913923</v>
      </c>
      <c r="N30" s="93">
        <v>432370.78767108603</v>
      </c>
      <c r="O30" s="95"/>
      <c r="P30" s="94">
        <v>3.6568639582925305E-2</v>
      </c>
      <c r="Q30" s="94">
        <v>0.96343136041707478</v>
      </c>
    </row>
    <row r="31" spans="1:17" x14ac:dyDescent="0.25">
      <c r="A31" t="s">
        <v>361</v>
      </c>
      <c r="B31" t="s">
        <v>351</v>
      </c>
      <c r="C31" s="93">
        <v>394385.57</v>
      </c>
      <c r="D31" s="92"/>
      <c r="E31" s="93">
        <v>15360</v>
      </c>
      <c r="F31" s="93">
        <v>283511.56</v>
      </c>
      <c r="G31" s="93">
        <v>95514.01</v>
      </c>
      <c r="H31" s="95"/>
      <c r="I31" s="94">
        <v>3.8946658215715142E-2</v>
      </c>
      <c r="J31" s="94">
        <v>0.71886899918777447</v>
      </c>
      <c r="K31" s="94">
        <v>0.24218434259651028</v>
      </c>
      <c r="L31" s="95"/>
      <c r="M31" s="93">
        <v>20268.781530099419</v>
      </c>
      <c r="N31" s="93">
        <v>374116.78846990061</v>
      </c>
      <c r="O31" s="95"/>
      <c r="P31" s="94">
        <v>5.1393314238397256E-2</v>
      </c>
      <c r="Q31" s="94">
        <v>0.94860668576160279</v>
      </c>
    </row>
    <row r="32" spans="1:17" x14ac:dyDescent="0.25">
      <c r="A32" t="s">
        <v>362</v>
      </c>
      <c r="B32" t="s">
        <v>351</v>
      </c>
      <c r="C32" s="93">
        <v>348794.58999999997</v>
      </c>
      <c r="D32" s="92"/>
      <c r="E32" s="93">
        <v>14170</v>
      </c>
      <c r="F32" s="93">
        <v>264060.13500000001</v>
      </c>
      <c r="G32" s="93">
        <v>70564.455000000002</v>
      </c>
      <c r="H32" s="95"/>
      <c r="I32" s="94">
        <v>4.0625630116568036E-2</v>
      </c>
      <c r="J32" s="94">
        <v>0.75706488165427122</v>
      </c>
      <c r="K32" s="94">
        <v>0.20230948822916092</v>
      </c>
      <c r="L32" s="95"/>
      <c r="M32" s="93">
        <v>17763.781555509795</v>
      </c>
      <c r="N32" s="93">
        <v>331030.80844449019</v>
      </c>
      <c r="O32" s="95"/>
      <c r="P32" s="94">
        <v>5.0929062734344006E-2</v>
      </c>
      <c r="Q32" s="94">
        <v>0.94907093726565606</v>
      </c>
    </row>
    <row r="33" spans="1:17" x14ac:dyDescent="0.25">
      <c r="A33" t="s">
        <v>363</v>
      </c>
      <c r="B33" t="s">
        <v>351</v>
      </c>
      <c r="C33" s="93">
        <v>409455.4200000001</v>
      </c>
      <c r="D33" s="92"/>
      <c r="E33" s="93">
        <v>13747.970000000001</v>
      </c>
      <c r="F33" s="93">
        <v>312971.565</v>
      </c>
      <c r="G33" s="93">
        <v>82735.884999999995</v>
      </c>
      <c r="H33" s="95"/>
      <c r="I33" s="94">
        <v>3.3576231571192779E-2</v>
      </c>
      <c r="J33" s="94">
        <v>0.76436053771128476</v>
      </c>
      <c r="K33" s="94">
        <v>0.20206323071752225</v>
      </c>
      <c r="L33" s="95"/>
      <c r="M33" s="93">
        <v>17229.397778426075</v>
      </c>
      <c r="N33" s="93">
        <v>392226.02222157392</v>
      </c>
      <c r="O33" s="95"/>
      <c r="P33" s="94">
        <v>4.2078812336703394E-2</v>
      </c>
      <c r="Q33" s="94">
        <v>0.95792118766329637</v>
      </c>
    </row>
    <row r="34" spans="1:17" x14ac:dyDescent="0.25">
      <c r="A34" t="s">
        <v>364</v>
      </c>
      <c r="B34" t="s">
        <v>351</v>
      </c>
      <c r="C34" s="93">
        <v>518449.9</v>
      </c>
      <c r="D34" s="92"/>
      <c r="E34" s="93">
        <v>8475</v>
      </c>
      <c r="F34" s="93">
        <v>419893.23000000004</v>
      </c>
      <c r="G34" s="93">
        <v>90081.669999999984</v>
      </c>
      <c r="H34" s="95"/>
      <c r="I34" s="94">
        <v>1.6346806123407488E-2</v>
      </c>
      <c r="J34" s="94">
        <v>0.80990126529101469</v>
      </c>
      <c r="K34" s="94">
        <v>0.17375192858557786</v>
      </c>
      <c r="L34" s="95"/>
      <c r="M34" s="93">
        <v>10257.210023488436</v>
      </c>
      <c r="N34" s="93">
        <v>508192.68997651158</v>
      </c>
      <c r="O34" s="95"/>
      <c r="P34" s="94">
        <v>1.9784380368264003E-2</v>
      </c>
      <c r="Q34" s="94">
        <v>0.98021561963173598</v>
      </c>
    </row>
    <row r="35" spans="1:17" x14ac:dyDescent="0.25">
      <c r="A35" t="s">
        <v>365</v>
      </c>
      <c r="B35" t="s">
        <v>351</v>
      </c>
      <c r="C35" s="93">
        <v>339088.46</v>
      </c>
      <c r="D35" s="92"/>
      <c r="E35" s="93">
        <v>15250</v>
      </c>
      <c r="F35" s="93">
        <v>235802.435</v>
      </c>
      <c r="G35" s="93">
        <v>88036.024999999994</v>
      </c>
      <c r="H35" s="95"/>
      <c r="I35" s="94">
        <v>4.4973515170643082E-2</v>
      </c>
      <c r="J35" s="94">
        <v>0.69540094345882486</v>
      </c>
      <c r="K35" s="94">
        <v>0.25962554137053201</v>
      </c>
      <c r="L35" s="95"/>
      <c r="M35" s="93">
        <v>20597.685160870875</v>
      </c>
      <c r="N35" s="93">
        <v>318490.77483912912</v>
      </c>
      <c r="O35" s="95"/>
      <c r="P35" s="94">
        <v>6.0744282364757776E-2</v>
      </c>
      <c r="Q35" s="94">
        <v>0.93925571763524218</v>
      </c>
    </row>
    <row r="36" spans="1:17" x14ac:dyDescent="0.25">
      <c r="A36" t="s">
        <v>366</v>
      </c>
      <c r="B36" t="s">
        <v>351</v>
      </c>
      <c r="C36" s="93">
        <v>352419.16</v>
      </c>
      <c r="D36" s="92"/>
      <c r="E36" s="93">
        <v>10726.8</v>
      </c>
      <c r="F36" s="93">
        <v>267828.59999999998</v>
      </c>
      <c r="G36" s="93">
        <v>73863.760000000009</v>
      </c>
      <c r="H36" s="95"/>
      <c r="I36" s="94">
        <v>3.0437618658418004E-2</v>
      </c>
      <c r="J36" s="94">
        <v>0.75997173365942983</v>
      </c>
      <c r="K36" s="94">
        <v>0.20959064768215216</v>
      </c>
      <c r="L36" s="95"/>
      <c r="M36" s="93">
        <v>13571.195695678489</v>
      </c>
      <c r="N36" s="93">
        <v>338847.9643043215</v>
      </c>
      <c r="O36" s="95"/>
      <c r="P36" s="94">
        <v>3.850867726850745E-2</v>
      </c>
      <c r="Q36" s="94">
        <v>0.96149132273149263</v>
      </c>
    </row>
    <row r="37" spans="1:17" x14ac:dyDescent="0.25">
      <c r="A37" t="s">
        <v>367</v>
      </c>
      <c r="B37" t="s">
        <v>351</v>
      </c>
      <c r="C37" s="93">
        <v>287113.28000000003</v>
      </c>
      <c r="D37" s="92"/>
      <c r="E37" s="93">
        <v>10479.41</v>
      </c>
      <c r="F37" s="93">
        <v>191758.58500000002</v>
      </c>
      <c r="G37" s="93">
        <v>84875.285000000003</v>
      </c>
      <c r="H37" s="95"/>
      <c r="I37" s="94">
        <v>3.6499217312414109E-2</v>
      </c>
      <c r="J37" s="94">
        <v>0.66788476311510214</v>
      </c>
      <c r="K37" s="94">
        <v>0.29561601957248373</v>
      </c>
      <c r="L37" s="95"/>
      <c r="M37" s="93">
        <v>14877.411030329884</v>
      </c>
      <c r="N37" s="93">
        <v>272235.86896967015</v>
      </c>
      <c r="O37" s="95"/>
      <c r="P37" s="94">
        <v>5.1817216641215212E-2</v>
      </c>
      <c r="Q37" s="94">
        <v>0.94818278335878481</v>
      </c>
    </row>
    <row r="38" spans="1:17" x14ac:dyDescent="0.25">
      <c r="A38" t="s">
        <v>368</v>
      </c>
      <c r="B38" t="s">
        <v>351</v>
      </c>
      <c r="C38" s="93">
        <v>612594.82999999996</v>
      </c>
      <c r="D38" s="92"/>
      <c r="E38" s="93">
        <v>92986.167320378241</v>
      </c>
      <c r="F38" s="93">
        <v>460643.7396120081</v>
      </c>
      <c r="G38" s="93">
        <v>58964.923067613548</v>
      </c>
      <c r="H38" s="95"/>
      <c r="I38" s="94">
        <v>0.15179064981723442</v>
      </c>
      <c r="J38" s="94">
        <v>0.75195499056367832</v>
      </c>
      <c r="K38" s="94">
        <v>9.625435961908714E-2</v>
      </c>
      <c r="L38" s="95"/>
      <c r="M38" s="93">
        <v>102889.75477788884</v>
      </c>
      <c r="N38" s="93">
        <v>509705.07522211107</v>
      </c>
      <c r="O38" s="95"/>
      <c r="P38" s="94">
        <v>0.16795726920824461</v>
      </c>
      <c r="Q38" s="94">
        <v>0.83204273079175528</v>
      </c>
    </row>
    <row r="39" spans="1:17" x14ac:dyDescent="0.25">
      <c r="A39" t="s">
        <v>369</v>
      </c>
      <c r="C39" s="93">
        <v>7046866.8900000006</v>
      </c>
      <c r="D39" s="92"/>
      <c r="E39" s="93">
        <v>502384.63332037826</v>
      </c>
      <c r="F39" s="93">
        <v>5030785.538612009</v>
      </c>
      <c r="G39" s="93">
        <v>1513696.7180676132</v>
      </c>
      <c r="H39" s="95"/>
      <c r="I39" s="94">
        <v>7.1291914713657686E-2</v>
      </c>
      <c r="J39" s="94">
        <v>0.71390386921470694</v>
      </c>
      <c r="K39" s="94">
        <v>0.21480421607163536</v>
      </c>
      <c r="L39" s="95"/>
      <c r="M39" s="93">
        <v>637962.33199615171</v>
      </c>
      <c r="N39" s="93">
        <v>6408904.5580038493</v>
      </c>
      <c r="O39" s="95"/>
      <c r="P39" s="94">
        <v>9.0531344206524617E-2</v>
      </c>
      <c r="Q39" s="94">
        <v>0.90946865579347547</v>
      </c>
    </row>
  </sheetData>
  <mergeCells count="2">
    <mergeCell ref="A1:I1"/>
    <mergeCell ref="A2:I2"/>
  </mergeCells>
  <pageMargins left="0.7" right="0.7" top="0.75" bottom="0.75" header="0.3" footer="0.3"/>
  <pageSetup scale="74" orientation="landscape" r:id="rId1"/>
  <headerFooter>
    <oddHeader>&amp;RSchedule J1.0</oddHeader>
    <oddFooter>&amp;L&amp;Z&amp;F&amp;R&amp;D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heetViews>
  <sheetFormatPr defaultRowHeight="15" x14ac:dyDescent="0.25"/>
  <cols>
    <col min="1" max="1" width="4.42578125" customWidth="1"/>
    <col min="2" max="5" width="18.7109375" customWidth="1"/>
  </cols>
  <sheetData>
    <row r="1" spans="1:5" x14ac:dyDescent="0.25">
      <c r="B1" s="67" t="s">
        <v>33</v>
      </c>
      <c r="C1" s="67"/>
      <c r="D1" s="67"/>
      <c r="E1" s="67"/>
    </row>
    <row r="2" spans="1:5" x14ac:dyDescent="0.25">
      <c r="B2" s="67" t="s">
        <v>269</v>
      </c>
      <c r="C2" s="67"/>
      <c r="D2" s="67"/>
      <c r="E2" s="67"/>
    </row>
    <row r="4" spans="1:5" x14ac:dyDescent="0.25">
      <c r="B4" s="65" t="s">
        <v>420</v>
      </c>
      <c r="C4" s="11"/>
      <c r="D4" s="11"/>
      <c r="E4" s="11"/>
    </row>
    <row r="5" spans="1:5" x14ac:dyDescent="0.25">
      <c r="B5" s="68"/>
      <c r="C5" s="71" t="s">
        <v>426</v>
      </c>
      <c r="D5" s="69" t="s">
        <v>427</v>
      </c>
      <c r="E5" s="70" t="s">
        <v>406</v>
      </c>
    </row>
    <row r="6" spans="1:5" x14ac:dyDescent="0.25">
      <c r="A6">
        <v>1</v>
      </c>
      <c r="B6" s="11" t="s">
        <v>255</v>
      </c>
      <c r="C6" s="147">
        <v>9</v>
      </c>
      <c r="D6" s="148"/>
      <c r="E6" s="11"/>
    </row>
    <row r="7" spans="1:5" x14ac:dyDescent="0.25">
      <c r="A7">
        <f>+A6+1</f>
        <v>2</v>
      </c>
      <c r="B7" s="11" t="s">
        <v>256</v>
      </c>
      <c r="C7" s="147">
        <v>21</v>
      </c>
      <c r="D7" s="148"/>
      <c r="E7" s="11"/>
    </row>
    <row r="8" spans="1:5" x14ac:dyDescent="0.25">
      <c r="A8">
        <f t="shared" ref="A8:A22" si="0">+A7+1</f>
        <v>3</v>
      </c>
      <c r="B8" s="11" t="s">
        <v>25</v>
      </c>
      <c r="C8" s="147">
        <v>10</v>
      </c>
      <c r="D8" s="147">
        <v>2</v>
      </c>
      <c r="E8" s="24">
        <f>+D8/C$22</f>
        <v>6.3091482649842269E-3</v>
      </c>
    </row>
    <row r="9" spans="1:5" x14ac:dyDescent="0.25">
      <c r="A9">
        <f t="shared" si="0"/>
        <v>4</v>
      </c>
      <c r="B9" s="11" t="s">
        <v>396</v>
      </c>
      <c r="C9" s="147">
        <v>18</v>
      </c>
      <c r="D9" s="147"/>
      <c r="E9" s="11"/>
    </row>
    <row r="10" spans="1:5" x14ac:dyDescent="0.25">
      <c r="A10">
        <f t="shared" si="0"/>
        <v>5</v>
      </c>
      <c r="B10" s="11" t="s">
        <v>257</v>
      </c>
      <c r="C10" s="147">
        <v>29</v>
      </c>
      <c r="D10" s="147"/>
      <c r="E10" s="11"/>
    </row>
    <row r="11" spans="1:5" x14ac:dyDescent="0.25">
      <c r="A11">
        <f t="shared" si="0"/>
        <v>6</v>
      </c>
      <c r="B11" s="11" t="s">
        <v>258</v>
      </c>
      <c r="C11" s="147">
        <v>25</v>
      </c>
      <c r="D11" s="147">
        <v>6</v>
      </c>
      <c r="E11" s="24">
        <f>+D11/C$22</f>
        <v>1.8927444794952682E-2</v>
      </c>
    </row>
    <row r="12" spans="1:5" x14ac:dyDescent="0.25">
      <c r="A12">
        <f t="shared" si="0"/>
        <v>7</v>
      </c>
      <c r="B12" s="11" t="s">
        <v>259</v>
      </c>
      <c r="C12" s="147">
        <v>8</v>
      </c>
      <c r="D12" s="147"/>
      <c r="E12" s="11"/>
    </row>
    <row r="13" spans="1:5" x14ac:dyDescent="0.25">
      <c r="A13">
        <f t="shared" si="0"/>
        <v>8</v>
      </c>
      <c r="B13" s="11" t="s">
        <v>260</v>
      </c>
      <c r="C13" s="147">
        <v>14</v>
      </c>
      <c r="D13" s="147"/>
      <c r="E13" s="11"/>
    </row>
    <row r="14" spans="1:5" x14ac:dyDescent="0.25">
      <c r="A14">
        <f t="shared" si="0"/>
        <v>9</v>
      </c>
      <c r="B14" s="11" t="s">
        <v>261</v>
      </c>
      <c r="C14" s="147">
        <v>22</v>
      </c>
      <c r="D14" s="147">
        <v>18</v>
      </c>
      <c r="E14" s="24">
        <f>+D14/C$22</f>
        <v>5.6782334384858045E-2</v>
      </c>
    </row>
    <row r="15" spans="1:5" x14ac:dyDescent="0.25">
      <c r="A15">
        <f t="shared" si="0"/>
        <v>10</v>
      </c>
      <c r="B15" s="11" t="s">
        <v>262</v>
      </c>
      <c r="C15" s="147">
        <v>3</v>
      </c>
      <c r="D15" s="148"/>
      <c r="E15" s="11"/>
    </row>
    <row r="16" spans="1:5" x14ac:dyDescent="0.25">
      <c r="A16">
        <f t="shared" si="0"/>
        <v>11</v>
      </c>
      <c r="B16" s="11" t="s">
        <v>263</v>
      </c>
      <c r="C16" s="147">
        <v>9</v>
      </c>
      <c r="D16" s="148"/>
      <c r="E16" s="11"/>
    </row>
    <row r="17" spans="1:5" x14ac:dyDescent="0.25">
      <c r="A17">
        <f t="shared" si="0"/>
        <v>12</v>
      </c>
      <c r="B17" s="11" t="s">
        <v>264</v>
      </c>
      <c r="C17" s="147">
        <v>13</v>
      </c>
      <c r="D17" s="147">
        <v>3</v>
      </c>
      <c r="E17" s="11"/>
    </row>
    <row r="18" spans="1:5" x14ac:dyDescent="0.25">
      <c r="A18">
        <f t="shared" si="0"/>
        <v>13</v>
      </c>
      <c r="B18" s="11" t="s">
        <v>265</v>
      </c>
      <c r="C18" s="147">
        <v>27</v>
      </c>
      <c r="D18" s="147">
        <v>12</v>
      </c>
      <c r="E18" s="11"/>
    </row>
    <row r="19" spans="1:5" x14ac:dyDescent="0.25">
      <c r="A19">
        <f t="shared" si="0"/>
        <v>14</v>
      </c>
      <c r="B19" s="11" t="s">
        <v>266</v>
      </c>
      <c r="C19" s="147">
        <v>31</v>
      </c>
      <c r="D19" s="148"/>
      <c r="E19" s="11"/>
    </row>
    <row r="20" spans="1:5" x14ac:dyDescent="0.25">
      <c r="A20">
        <f t="shared" si="0"/>
        <v>15</v>
      </c>
      <c r="B20" s="11" t="s">
        <v>267</v>
      </c>
      <c r="C20" s="147">
        <v>37</v>
      </c>
      <c r="D20" s="147">
        <v>15</v>
      </c>
      <c r="E20" s="11"/>
    </row>
    <row r="21" spans="1:5" x14ac:dyDescent="0.25">
      <c r="A21">
        <f t="shared" si="0"/>
        <v>16</v>
      </c>
      <c r="B21" s="11" t="s">
        <v>268</v>
      </c>
      <c r="C21" s="147">
        <v>41</v>
      </c>
      <c r="D21" s="148"/>
      <c r="E21" s="11"/>
    </row>
    <row r="22" spans="1:5" x14ac:dyDescent="0.25">
      <c r="A22">
        <f t="shared" si="0"/>
        <v>17</v>
      </c>
      <c r="B22" s="11" t="s">
        <v>1</v>
      </c>
      <c r="C22" s="11">
        <f>SUM(C6:C21)</f>
        <v>317</v>
      </c>
      <c r="D22" s="11">
        <f>SUM(D6:D21)</f>
        <v>56</v>
      </c>
      <c r="E22" s="24">
        <f>+D22/C$22</f>
        <v>0.17665615141955837</v>
      </c>
    </row>
  </sheetData>
  <printOptions horizontalCentered="1"/>
  <pageMargins left="0.5" right="0.5" top="1" bottom="1" header="0.5" footer="0.5"/>
  <pageSetup orientation="landscape" r:id="rId1"/>
  <headerFooter>
    <oddHeader>&amp;RSchedule K1.0</oddHead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5" x14ac:dyDescent="0.25"/>
  <cols>
    <col min="1" max="1" width="4.42578125" style="135" customWidth="1"/>
    <col min="2" max="3" width="15.7109375" style="135" customWidth="1"/>
    <col min="4" max="4" width="18.140625" style="135" bestFit="1" customWidth="1"/>
    <col min="5" max="5" width="9.140625" style="135" customWidth="1"/>
    <col min="6" max="16384" width="9.140625" style="135"/>
  </cols>
  <sheetData>
    <row r="1" spans="1:5" x14ac:dyDescent="0.25">
      <c r="B1" s="150" t="s">
        <v>33</v>
      </c>
      <c r="C1" s="150"/>
      <c r="D1" s="150" t="s">
        <v>447</v>
      </c>
      <c r="E1" s="150"/>
    </row>
    <row r="2" spans="1:5" x14ac:dyDescent="0.25">
      <c r="B2" s="150" t="s">
        <v>445</v>
      </c>
      <c r="C2" s="150"/>
      <c r="D2" s="150" t="s">
        <v>447</v>
      </c>
      <c r="E2" s="150"/>
    </row>
    <row r="4" spans="1:5" x14ac:dyDescent="0.25">
      <c r="B4" s="112" t="s">
        <v>421</v>
      </c>
      <c r="C4" s="151"/>
      <c r="D4" s="151"/>
      <c r="E4" s="151"/>
    </row>
    <row r="5" spans="1:5" x14ac:dyDescent="0.25">
      <c r="B5" s="112"/>
      <c r="C5" s="151"/>
      <c r="D5" s="151"/>
      <c r="E5" s="151"/>
    </row>
    <row r="6" spans="1:5" x14ac:dyDescent="0.25">
      <c r="B6" s="152" t="s">
        <v>446</v>
      </c>
      <c r="C6" s="153" t="s">
        <v>238</v>
      </c>
      <c r="D6" s="146"/>
      <c r="E6" s="154"/>
    </row>
    <row r="7" spans="1:5" x14ac:dyDescent="0.25">
      <c r="A7" s="135">
        <v>1</v>
      </c>
      <c r="B7" s="155">
        <v>350</v>
      </c>
      <c r="C7" s="156">
        <v>2.75</v>
      </c>
      <c r="D7" s="148"/>
      <c r="E7" s="151"/>
    </row>
    <row r="8" spans="1:5" x14ac:dyDescent="0.25">
      <c r="A8" s="135">
        <f>+A7+1</f>
        <v>2</v>
      </c>
      <c r="B8" s="155">
        <v>353</v>
      </c>
      <c r="C8" s="156">
        <v>2.75</v>
      </c>
      <c r="D8" s="148"/>
      <c r="E8" s="151"/>
    </row>
    <row r="9" spans="1:5" x14ac:dyDescent="0.25">
      <c r="A9" s="135">
        <f t="shared" ref="A9:A16" si="0">+A8+1</f>
        <v>3</v>
      </c>
      <c r="B9" s="155">
        <v>355</v>
      </c>
      <c r="C9" s="156">
        <v>2.75</v>
      </c>
      <c r="D9" s="148"/>
      <c r="E9" s="157"/>
    </row>
    <row r="10" spans="1:5" x14ac:dyDescent="0.25">
      <c r="A10" s="135">
        <f t="shared" si="0"/>
        <v>4</v>
      </c>
      <c r="B10" s="155">
        <v>356</v>
      </c>
      <c r="C10" s="156">
        <v>2.75</v>
      </c>
      <c r="D10" s="148"/>
      <c r="E10" s="151"/>
    </row>
    <row r="11" spans="1:5" x14ac:dyDescent="0.25">
      <c r="A11" s="135">
        <f t="shared" si="0"/>
        <v>5</v>
      </c>
      <c r="B11" s="155">
        <v>390</v>
      </c>
      <c r="C11" s="156">
        <v>6.67</v>
      </c>
      <c r="D11" s="148"/>
      <c r="E11" s="151"/>
    </row>
    <row r="12" spans="1:5" x14ac:dyDescent="0.25">
      <c r="A12" s="135">
        <f t="shared" si="0"/>
        <v>6</v>
      </c>
      <c r="B12" s="155">
        <v>391</v>
      </c>
      <c r="C12" s="156">
        <v>20</v>
      </c>
      <c r="D12" s="148"/>
      <c r="E12" s="157"/>
    </row>
    <row r="13" spans="1:5" x14ac:dyDescent="0.25">
      <c r="A13" s="135">
        <f t="shared" si="0"/>
        <v>7</v>
      </c>
      <c r="B13" s="155">
        <v>392</v>
      </c>
      <c r="C13" s="156">
        <v>20</v>
      </c>
      <c r="D13" s="148"/>
      <c r="E13" s="151"/>
    </row>
    <row r="14" spans="1:5" x14ac:dyDescent="0.25">
      <c r="A14" s="135">
        <f t="shared" si="0"/>
        <v>8</v>
      </c>
      <c r="B14" s="155">
        <v>397</v>
      </c>
      <c r="C14" s="156">
        <v>20</v>
      </c>
      <c r="D14" s="148"/>
      <c r="E14" s="151"/>
    </row>
    <row r="15" spans="1:5" x14ac:dyDescent="0.25">
      <c r="A15" s="135">
        <f t="shared" si="0"/>
        <v>9</v>
      </c>
      <c r="B15" s="155">
        <v>399</v>
      </c>
      <c r="C15" s="156">
        <v>10</v>
      </c>
      <c r="D15" s="148"/>
      <c r="E15" s="157"/>
    </row>
    <row r="16" spans="1:5" x14ac:dyDescent="0.25">
      <c r="A16" s="135">
        <f t="shared" si="0"/>
        <v>10</v>
      </c>
      <c r="B16" s="155">
        <v>101</v>
      </c>
      <c r="C16" s="156">
        <v>6.67</v>
      </c>
      <c r="D16" s="148"/>
      <c r="E16" s="151"/>
    </row>
    <row r="17" spans="2:5" x14ac:dyDescent="0.25">
      <c r="B17" s="151"/>
      <c r="C17" s="148"/>
      <c r="D17" s="148"/>
      <c r="E17" s="151"/>
    </row>
    <row r="18" spans="2:5" x14ac:dyDescent="0.25">
      <c r="B18" s="151"/>
      <c r="C18" s="148"/>
      <c r="D18" s="148"/>
      <c r="E18" s="151"/>
    </row>
    <row r="19" spans="2:5" x14ac:dyDescent="0.25">
      <c r="B19" s="151"/>
      <c r="C19" s="148"/>
      <c r="D19" s="148"/>
      <c r="E19" s="151"/>
    </row>
    <row r="20" spans="2:5" x14ac:dyDescent="0.25">
      <c r="B20" s="151"/>
      <c r="C20" s="148"/>
      <c r="D20" s="148"/>
      <c r="E20" s="151"/>
    </row>
    <row r="21" spans="2:5" x14ac:dyDescent="0.25">
      <c r="B21" s="151"/>
      <c r="C21" s="148"/>
      <c r="D21" s="148"/>
      <c r="E21" s="151"/>
    </row>
    <row r="22" spans="2:5" x14ac:dyDescent="0.25">
      <c r="B22" s="151"/>
      <c r="C22" s="148"/>
      <c r="D22" s="148"/>
      <c r="E22" s="151"/>
    </row>
    <row r="23" spans="2:5" x14ac:dyDescent="0.25">
      <c r="B23" s="151"/>
      <c r="C23" s="151"/>
      <c r="D23" s="151"/>
      <c r="E23" s="157"/>
    </row>
  </sheetData>
  <printOptions horizontalCentered="1"/>
  <pageMargins left="0.5" right="0.5" top="1" bottom="1" header="0.5" footer="0.5"/>
  <pageSetup orientation="landscape" r:id="rId1"/>
  <headerFooter>
    <oddHeader>&amp;RSchedule L1.0</oddHead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Summary</vt:lpstr>
      <vt:lpstr>Form 1 Plant </vt:lpstr>
      <vt:lpstr>TransPlnt </vt:lpstr>
      <vt:lpstr>Form1Exp</vt:lpstr>
      <vt:lpstr>TransExp</vt:lpstr>
      <vt:lpstr>AF</vt:lpstr>
      <vt:lpstr>Usage</vt:lpstr>
      <vt:lpstr>Margin</vt:lpstr>
      <vt:lpstr>Debt</vt:lpstr>
      <vt:lpstr>Sub WP</vt:lpstr>
      <vt:lpstr>Delivery Pts</vt:lpstr>
      <vt:lpstr>Depreciation</vt:lpstr>
      <vt:lpstr>AF!Print_Area</vt:lpstr>
      <vt:lpstr>Depreciation!Print_Area</vt:lpstr>
      <vt:lpstr>Form1Exp!Print_Area</vt:lpstr>
      <vt:lpstr>Summary!Print_Area</vt:lpstr>
      <vt:lpstr>TransExp!Print_Area</vt:lpstr>
      <vt:lpstr>'TransPlnt '!Print_Area</vt:lpstr>
      <vt:lpstr>Usage!Print_Area</vt:lpstr>
      <vt:lpstr>AF!Print_Titles</vt:lpstr>
      <vt:lpstr>Form1Exp!Print_Titles</vt:lpstr>
      <vt:lpstr>TransExp!Print_Titles</vt:lpstr>
      <vt:lpstr>'TransPlnt '!Print_Titles</vt:lpstr>
      <vt:lpstr>Usage!Print_Titles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Winter, Francesca</cp:lastModifiedBy>
  <cp:lastPrinted>2015-05-22T16:13:41Z</cp:lastPrinted>
  <dcterms:created xsi:type="dcterms:W3CDTF">2011-05-27T16:38:22Z</dcterms:created>
  <dcterms:modified xsi:type="dcterms:W3CDTF">2016-06-01T21:37:43Z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