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W:\Marketop\Transmission (Settlement Checkouts) 20181218\GSEC OATT\2022\"/>
    </mc:Choice>
  </mc:AlternateContent>
  <xr:revisionPtr revIDLastSave="0" documentId="8_{B3F1AE7C-00D4-4C0F-A290-C56048F60329}" xr6:coauthVersionLast="47" xr6:coauthVersionMax="47" xr10:uidLastSave="{00000000-0000-0000-0000-000000000000}"/>
  <bookViews>
    <workbookView xWindow="1395" yWindow="255" windowWidth="25485" windowHeight="14820"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WP'!$A$8:$R$64</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3" i="30" l="1"/>
  <c r="E221" i="30"/>
  <c r="E54" i="30"/>
  <c r="E10" i="20" l="1"/>
  <c r="C10" i="20"/>
  <c r="O39" i="26" l="1"/>
  <c r="E224" i="30" l="1"/>
  <c r="E240" i="30" l="1"/>
  <c r="E237" i="30"/>
  <c r="K238" i="30"/>
  <c r="K235" i="30"/>
  <c r="K206" i="30" l="1"/>
  <c r="K146" i="30"/>
  <c r="K109" i="30"/>
  <c r="E94" i="30"/>
  <c r="E87" i="30"/>
  <c r="E71" i="30"/>
  <c r="E69" i="30"/>
  <c r="A49" i="32" l="1"/>
  <c r="A50" i="32" s="1"/>
  <c r="F51" i="32"/>
  <c r="G51" i="32"/>
  <c r="H51" i="32"/>
  <c r="I51" i="32"/>
  <c r="J51" i="32"/>
  <c r="K51" i="32"/>
  <c r="L51" i="32"/>
  <c r="M51" i="32"/>
  <c r="N51" i="32"/>
  <c r="O51" i="32"/>
  <c r="P51" i="32"/>
  <c r="Q51" i="32"/>
  <c r="E79" i="30" l="1"/>
  <c r="F13" i="10" l="1"/>
  <c r="K242" i="30" l="1"/>
  <c r="Q39" i="26" l="1"/>
  <c r="E24" i="26" l="1"/>
  <c r="D27" i="36" l="1"/>
  <c r="C27" i="36"/>
  <c r="A11" i="36"/>
  <c r="A12" i="36" s="1"/>
  <c r="A13" i="36" s="1"/>
  <c r="A14" i="36" s="1"/>
  <c r="A15" i="36" s="1"/>
  <c r="A16" i="36" s="1"/>
  <c r="A17" i="36" s="1"/>
  <c r="A18" i="36" s="1"/>
  <c r="A19" i="36" s="1"/>
  <c r="A20" i="36" s="1"/>
  <c r="A21" i="36" s="1"/>
  <c r="A22" i="36" s="1"/>
  <c r="A23" i="36" s="1"/>
  <c r="A24" i="36" s="1"/>
  <c r="A25" i="36" s="1"/>
  <c r="A26" i="36" s="1"/>
  <c r="A27" i="36" s="1"/>
  <c r="J243" i="30" l="1"/>
  <c r="J242" i="30"/>
  <c r="I242" i="30"/>
  <c r="D7" i="24" l="1"/>
  <c r="E7" i="24"/>
  <c r="G81" i="26" l="1"/>
  <c r="V81" i="26" s="1"/>
  <c r="H81" i="26"/>
  <c r="W81" i="26" s="1"/>
  <c r="I81" i="26"/>
  <c r="X81" i="26" s="1"/>
  <c r="J81" i="26"/>
  <c r="Y81" i="26" s="1"/>
  <c r="L81" i="26"/>
  <c r="AA81" i="26" s="1"/>
  <c r="M81" i="26"/>
  <c r="AB81" i="26" s="1"/>
  <c r="N81" i="26"/>
  <c r="K81" i="26"/>
  <c r="Z81" i="26" s="1"/>
  <c r="G82" i="26"/>
  <c r="H82" i="26"/>
  <c r="I82" i="26"/>
  <c r="J82" i="26"/>
  <c r="L82" i="26"/>
  <c r="M82" i="26"/>
  <c r="N82" i="26"/>
  <c r="K82" i="26"/>
  <c r="G83" i="26"/>
  <c r="V83" i="26" s="1"/>
  <c r="H83" i="26"/>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12" i="30"/>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7" i="30"/>
  <c r="G89" i="30"/>
  <c r="G94" i="30"/>
  <c r="O94" i="30" s="1"/>
  <c r="AE94" i="30" s="1"/>
  <c r="G96" i="30"/>
  <c r="O96" i="30" s="1"/>
  <c r="AE96" i="30" s="1"/>
  <c r="G98" i="30"/>
  <c r="O98" i="30" s="1"/>
  <c r="AE98" i="30" s="1"/>
  <c r="G100" i="30"/>
  <c r="G102" i="30"/>
  <c r="G104" i="30"/>
  <c r="O104" i="30" s="1"/>
  <c r="AE104" i="30" s="1"/>
  <c r="G110" i="30"/>
  <c r="G112" i="30"/>
  <c r="O112" i="30" s="1"/>
  <c r="AE112" i="30" s="1"/>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W8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7" i="30"/>
  <c r="Q87" i="30" s="1"/>
  <c r="AG87" i="30" s="1"/>
  <c r="H89" i="30"/>
  <c r="H94" i="30"/>
  <c r="H96" i="30"/>
  <c r="Q96" i="30" s="1"/>
  <c r="H98" i="30"/>
  <c r="Q98" i="30" s="1"/>
  <c r="AG98" i="30" s="1"/>
  <c r="H100" i="30"/>
  <c r="Q100" i="30" s="1"/>
  <c r="AG100" i="30" s="1"/>
  <c r="H102" i="30"/>
  <c r="Q102" i="30" s="1"/>
  <c r="AG102" i="30" s="1"/>
  <c r="H104" i="30"/>
  <c r="H110" i="30"/>
  <c r="H112" i="30"/>
  <c r="R112" i="30" s="1"/>
  <c r="AH112" i="30" s="1"/>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7" i="30"/>
  <c r="U87" i="30" s="1"/>
  <c r="AK87" i="30" s="1"/>
  <c r="J89" i="30"/>
  <c r="V89" i="30" s="1"/>
  <c r="AL89" i="30" s="1"/>
  <c r="J94" i="30"/>
  <c r="J96" i="30"/>
  <c r="U96" i="30" s="1"/>
  <c r="AK96" i="30" s="1"/>
  <c r="J98" i="30"/>
  <c r="J100" i="30"/>
  <c r="U100" i="30" s="1"/>
  <c r="AK100" i="30" s="1"/>
  <c r="J102" i="30"/>
  <c r="U102" i="30" s="1"/>
  <c r="AK102" i="30" s="1"/>
  <c r="J104" i="30"/>
  <c r="J110" i="30"/>
  <c r="J112"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s="1"/>
  <c r="E51" i="26"/>
  <c r="E50" i="26" s="1"/>
  <c r="E68" i="26"/>
  <c r="E67" i="26" s="1"/>
  <c r="E74" i="26"/>
  <c r="E73" i="26" s="1"/>
  <c r="E80" i="26"/>
  <c r="E79" i="26" s="1"/>
  <c r="E238" i="30"/>
  <c r="E235" i="30"/>
  <c r="E234" i="30" s="1"/>
  <c r="E166" i="30"/>
  <c r="E165" i="30"/>
  <c r="E146" i="30"/>
  <c r="E145" i="30" s="1"/>
  <c r="E23" i="24"/>
  <c r="D23" i="24"/>
  <c r="E22" i="24"/>
  <c r="D22" i="24"/>
  <c r="E21" i="24"/>
  <c r="D21" i="24"/>
  <c r="E20" i="24"/>
  <c r="D20" i="24"/>
  <c r="C20" i="24" s="1"/>
  <c r="E19" i="24"/>
  <c r="D19" i="24"/>
  <c r="E18" i="24"/>
  <c r="D18" i="24"/>
  <c r="E17" i="24"/>
  <c r="D17" i="24"/>
  <c r="E16" i="24"/>
  <c r="D16" i="24"/>
  <c r="C16" i="24" s="1"/>
  <c r="E15" i="24"/>
  <c r="D15" i="24"/>
  <c r="E14" i="24"/>
  <c r="D14" i="24"/>
  <c r="C14" i="24" s="1"/>
  <c r="E13" i="24"/>
  <c r="D13" i="24"/>
  <c r="E12" i="24"/>
  <c r="D12" i="24"/>
  <c r="E11" i="24"/>
  <c r="D11" i="24"/>
  <c r="E10" i="24"/>
  <c r="D10" i="24"/>
  <c r="E9" i="24"/>
  <c r="D9" i="24"/>
  <c r="E8" i="24"/>
  <c r="D8" i="24"/>
  <c r="C7" i="24"/>
  <c r="P55" i="32"/>
  <c r="N55" i="32"/>
  <c r="M55" i="32"/>
  <c r="L55" i="32"/>
  <c r="K55" i="32"/>
  <c r="J55" i="32"/>
  <c r="I55" i="32"/>
  <c r="G55" i="32"/>
  <c r="F55" i="32"/>
  <c r="Q55" i="32"/>
  <c r="E256" i="30"/>
  <c r="E259" i="30" s="1"/>
  <c r="E45" i="26"/>
  <c r="A8" i="34"/>
  <c r="A9" i="34"/>
  <c r="A10" i="34" s="1"/>
  <c r="A11" i="34" s="1"/>
  <c r="A12" i="34" s="1"/>
  <c r="A13" i="34" s="1"/>
  <c r="A14" i="34" s="1"/>
  <c r="A15" i="34" s="1"/>
  <c r="A16" i="34" s="1"/>
  <c r="R53" i="32"/>
  <c r="R52" i="32"/>
  <c r="R54" i="32"/>
  <c r="F60" i="32"/>
  <c r="F62" i="32" s="1"/>
  <c r="Q27" i="32"/>
  <c r="P27" i="32"/>
  <c r="O27" i="32"/>
  <c r="N27" i="32"/>
  <c r="M27" i="32"/>
  <c r="L27" i="32"/>
  <c r="K27" i="32"/>
  <c r="J27" i="32"/>
  <c r="I27" i="32"/>
  <c r="H27" i="32"/>
  <c r="G27" i="32"/>
  <c r="F27" i="32"/>
  <c r="R50" i="32"/>
  <c r="R26" i="32"/>
  <c r="Q12" i="32"/>
  <c r="P12" i="32"/>
  <c r="P14" i="32" s="1"/>
  <c r="O12" i="32"/>
  <c r="O14" i="32" s="1"/>
  <c r="N12" i="32"/>
  <c r="N14" i="32" s="1"/>
  <c r="M12" i="32"/>
  <c r="M14" i="32" s="1"/>
  <c r="L12" i="32"/>
  <c r="L14" i="32" s="1"/>
  <c r="K12" i="32"/>
  <c r="K14" i="32" s="1"/>
  <c r="J12" i="32"/>
  <c r="J14" i="32" s="1"/>
  <c r="I12" i="32"/>
  <c r="I14" i="32" s="1"/>
  <c r="H12" i="32"/>
  <c r="H14" i="32" s="1"/>
  <c r="G12" i="32"/>
  <c r="F12" i="32"/>
  <c r="F14" i="32" s="1"/>
  <c r="R11" i="32"/>
  <c r="R61" i="32"/>
  <c r="Q60" i="32"/>
  <c r="Q62" i="32" s="1"/>
  <c r="O14" i="12" s="1"/>
  <c r="P60" i="32"/>
  <c r="P62" i="32" s="1"/>
  <c r="N14" i="12" s="1"/>
  <c r="O60" i="32"/>
  <c r="O62" i="32" s="1"/>
  <c r="M14" i="12" s="1"/>
  <c r="N60" i="32"/>
  <c r="N62" i="32" s="1"/>
  <c r="L14" i="12" s="1"/>
  <c r="M60" i="32"/>
  <c r="M62" i="32" s="1"/>
  <c r="K14" i="12" s="1"/>
  <c r="L60" i="32"/>
  <c r="L62" i="32" s="1"/>
  <c r="J14" i="12" s="1"/>
  <c r="K60" i="32"/>
  <c r="K62" i="32" s="1"/>
  <c r="I14" i="12" s="1"/>
  <c r="J60" i="32"/>
  <c r="J62" i="32"/>
  <c r="H14" i="12" s="1"/>
  <c r="I60" i="32"/>
  <c r="I62" i="32" s="1"/>
  <c r="G14" i="12" s="1"/>
  <c r="H60" i="32"/>
  <c r="H62" i="32" s="1"/>
  <c r="F14" i="12" s="1"/>
  <c r="G60" i="32"/>
  <c r="G62" i="32" s="1"/>
  <c r="E14" i="12" s="1"/>
  <c r="R59" i="32"/>
  <c r="R58" i="32"/>
  <c r="O55" i="32"/>
  <c r="H55" i="32"/>
  <c r="R48" i="32"/>
  <c r="R47" i="32"/>
  <c r="R46" i="32"/>
  <c r="R45" i="32"/>
  <c r="R44" i="32"/>
  <c r="R43" i="32"/>
  <c r="R42" i="32"/>
  <c r="R41" i="32"/>
  <c r="R40" i="32"/>
  <c r="R39" i="32"/>
  <c r="R38" i="32"/>
  <c r="R37" i="32"/>
  <c r="R36" i="32"/>
  <c r="R35" i="32"/>
  <c r="R34" i="32"/>
  <c r="R33" i="32"/>
  <c r="Q28" i="32"/>
  <c r="P28" i="32"/>
  <c r="O28" i="32"/>
  <c r="N28" i="32"/>
  <c r="M28" i="32"/>
  <c r="L28" i="32"/>
  <c r="K28" i="32"/>
  <c r="J28" i="32"/>
  <c r="J29" i="32" s="1"/>
  <c r="I28" i="32"/>
  <c r="H28" i="32"/>
  <c r="H29" i="32" s="1"/>
  <c r="G28" i="32"/>
  <c r="F28" i="32"/>
  <c r="R25" i="32"/>
  <c r="R24" i="32"/>
  <c r="R23" i="32"/>
  <c r="R22" i="32"/>
  <c r="R21" i="32"/>
  <c r="R20" i="32"/>
  <c r="R19" i="32"/>
  <c r="R13" i="32"/>
  <c r="Q14" i="32"/>
  <c r="G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51" i="32" s="1"/>
  <c r="A52" i="32" s="1"/>
  <c r="A53" i="32" s="1"/>
  <c r="A54" i="32" s="1"/>
  <c r="A55" i="32" s="1"/>
  <c r="A56" i="32" s="1"/>
  <c r="A57" i="32" s="1"/>
  <c r="A58" i="32" s="1"/>
  <c r="A59" i="32" s="1"/>
  <c r="A60" i="32" s="1"/>
  <c r="A61" i="32" s="1"/>
  <c r="A62" i="32" s="1"/>
  <c r="A63" i="32" s="1"/>
  <c r="A64" i="32" s="1"/>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s="1"/>
  <c r="G13" i="20" s="1"/>
  <c r="G38" i="20"/>
  <c r="J280" i="30" s="1"/>
  <c r="G37" i="20"/>
  <c r="G36" i="20"/>
  <c r="G39" i="20"/>
  <c r="L31" i="24"/>
  <c r="L34" i="24" s="1"/>
  <c r="K58" i="10" s="1"/>
  <c r="K31" i="24"/>
  <c r="I24" i="24"/>
  <c r="L20" i="24" s="1"/>
  <c r="H24" i="24"/>
  <c r="K23" i="24" s="1"/>
  <c r="G24" i="24"/>
  <c r="F24" i="24"/>
  <c r="J23" i="24"/>
  <c r="J31" i="24"/>
  <c r="I31" i="24"/>
  <c r="H31" i="24"/>
  <c r="G31" i="24"/>
  <c r="H34" i="24" s="1"/>
  <c r="G58" i="10" s="1"/>
  <c r="K9" i="24"/>
  <c r="K8" i="24"/>
  <c r="K15" i="24"/>
  <c r="R80" i="26"/>
  <c r="Q80" i="26"/>
  <c r="R78" i="26"/>
  <c r="Q78" i="26"/>
  <c r="R76" i="26"/>
  <c r="Q76" i="26"/>
  <c r="R74" i="26"/>
  <c r="Q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S49" i="26" s="1"/>
  <c r="R45" i="26"/>
  <c r="Q45" i="26"/>
  <c r="R43" i="26"/>
  <c r="Q43" i="26"/>
  <c r="R41" i="26"/>
  <c r="Q41" i="26"/>
  <c r="R39" i="26"/>
  <c r="S39" i="26" s="1"/>
  <c r="C62" i="10"/>
  <c r="J231" i="30"/>
  <c r="H231" i="30"/>
  <c r="R231" i="30" s="1"/>
  <c r="G231" i="30"/>
  <c r="O231" i="30" s="1"/>
  <c r="E64" i="26"/>
  <c r="E78" i="26"/>
  <c r="E77" i="26" s="1"/>
  <c r="E76" i="26"/>
  <c r="E72" i="26"/>
  <c r="E71" i="26" s="1"/>
  <c r="E70" i="26"/>
  <c r="E66" i="26"/>
  <c r="E59" i="26"/>
  <c r="E58" i="26" s="1"/>
  <c r="E57" i="26"/>
  <c r="E56" i="26" s="1"/>
  <c r="E55" i="26"/>
  <c r="E53" i="26"/>
  <c r="E43" i="26"/>
  <c r="E42" i="26" s="1"/>
  <c r="E120" i="26" s="1"/>
  <c r="E41" i="26"/>
  <c r="E40" i="26" s="1"/>
  <c r="E39" i="26"/>
  <c r="E38" i="26" s="1"/>
  <c r="F12" i="10"/>
  <c r="F11" i="10"/>
  <c r="F9" i="10"/>
  <c r="I285" i="30"/>
  <c r="H285" i="30"/>
  <c r="G285" i="30"/>
  <c r="J258" i="30"/>
  <c r="H258" i="30"/>
  <c r="G258" i="30"/>
  <c r="E247" i="30"/>
  <c r="E250" i="30" s="1"/>
  <c r="J239" i="30"/>
  <c r="U239" i="30" s="1"/>
  <c r="H239" i="30"/>
  <c r="Q239" i="30" s="1"/>
  <c r="G239" i="30"/>
  <c r="P239" i="30" s="1"/>
  <c r="J233" i="30"/>
  <c r="U233" i="30" s="1"/>
  <c r="H233" i="30"/>
  <c r="Q233" i="30" s="1"/>
  <c r="G233" i="30"/>
  <c r="J232" i="30"/>
  <c r="V232" i="30" s="1"/>
  <c r="H232" i="30"/>
  <c r="G232" i="30"/>
  <c r="O232" i="30" s="1"/>
  <c r="E206" i="30"/>
  <c r="E205" i="30" s="1"/>
  <c r="E215" i="30" s="1"/>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8" i="30" s="1"/>
  <c r="E107" i="30"/>
  <c r="E106" i="30" s="1"/>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5" i="26"/>
  <c r="E65" i="26"/>
  <c r="E54" i="26"/>
  <c r="E52" i="26"/>
  <c r="E13" i="26"/>
  <c r="M44" i="10"/>
  <c r="M43" i="10"/>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280" i="30" s="1"/>
  <c r="G31" i="20"/>
  <c r="G30" i="20"/>
  <c r="E27" i="20"/>
  <c r="E11" i="20" s="1"/>
  <c r="C27" i="20"/>
  <c r="C11" i="20" s="1"/>
  <c r="G26" i="20"/>
  <c r="H280" i="30" s="1"/>
  <c r="G25" i="20"/>
  <c r="G24" i="20"/>
  <c r="E45" i="20"/>
  <c r="E14" i="20" s="1"/>
  <c r="C45" i="20"/>
  <c r="C14" i="20" s="1"/>
  <c r="G44" i="20"/>
  <c r="G43" i="20"/>
  <c r="G42" i="20"/>
  <c r="E21" i="20"/>
  <c r="C21" i="20"/>
  <c r="G20" i="20"/>
  <c r="G280" i="30" s="1"/>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82" i="30"/>
  <c r="E81" i="30" s="1"/>
  <c r="E84" i="30"/>
  <c r="L84" i="30" s="1"/>
  <c r="E86" i="30"/>
  <c r="E85" i="30" s="1"/>
  <c r="H85" i="30" s="1"/>
  <c r="Q85" i="30" s="1"/>
  <c r="AG85" i="30" s="1"/>
  <c r="E88" i="30"/>
  <c r="L88" i="30" s="1"/>
  <c r="E90" i="30"/>
  <c r="L90" i="30" s="1"/>
  <c r="R47" i="26"/>
  <c r="Q47" i="26"/>
  <c r="S47" i="26" s="1"/>
  <c r="E47" i="26"/>
  <c r="E46" i="26" s="1"/>
  <c r="C11" i="24" l="1"/>
  <c r="J85" i="30"/>
  <c r="J274" i="30" s="1"/>
  <c r="G85" i="30"/>
  <c r="O85" i="30" s="1"/>
  <c r="AE85" i="30" s="1"/>
  <c r="I85" i="30"/>
  <c r="S85" i="30" s="1"/>
  <c r="AI85" i="30" s="1"/>
  <c r="S74" i="26"/>
  <c r="E63" i="26"/>
  <c r="E133" i="26" s="1"/>
  <c r="G40" i="26"/>
  <c r="V40" i="26" s="1"/>
  <c r="K40" i="26"/>
  <c r="H40" i="26"/>
  <c r="W40" i="26" s="1"/>
  <c r="L40" i="26"/>
  <c r="AA40" i="26" s="1"/>
  <c r="J40" i="26"/>
  <c r="Y40" i="26" s="1"/>
  <c r="I40" i="26"/>
  <c r="X40" i="26" s="1"/>
  <c r="K42" i="26"/>
  <c r="I42" i="26"/>
  <c r="J42" i="26"/>
  <c r="G42" i="26"/>
  <c r="H42" i="26"/>
  <c r="L42" i="26"/>
  <c r="S43" i="26"/>
  <c r="M29" i="32"/>
  <c r="L29" i="32"/>
  <c r="F34" i="24"/>
  <c r="E58" i="10" s="1"/>
  <c r="P243" i="30" s="1"/>
  <c r="C13" i="24"/>
  <c r="C17" i="24"/>
  <c r="K11" i="24"/>
  <c r="T71" i="30"/>
  <c r="AJ71" i="30" s="1"/>
  <c r="J133" i="26"/>
  <c r="R133" i="26" s="1"/>
  <c r="L86" i="30"/>
  <c r="K16" i="24"/>
  <c r="C8" i="24"/>
  <c r="V258" i="30"/>
  <c r="AL258" i="30" s="1"/>
  <c r="K18" i="24"/>
  <c r="C19" i="24"/>
  <c r="I34" i="24"/>
  <c r="H58" i="10" s="1"/>
  <c r="S258" i="30" s="1"/>
  <c r="AI258" i="30" s="1"/>
  <c r="E34" i="24"/>
  <c r="D58" i="10" s="1"/>
  <c r="O243" i="30" s="1"/>
  <c r="K34" i="24"/>
  <c r="J58" i="10" s="1"/>
  <c r="U258" i="30" s="1"/>
  <c r="AK258" i="30" s="1"/>
  <c r="C10" i="24"/>
  <c r="F29" i="32"/>
  <c r="N29" i="32"/>
  <c r="P29" i="32"/>
  <c r="S68" i="26"/>
  <c r="E137" i="26"/>
  <c r="E129" i="26"/>
  <c r="T67" i="30"/>
  <c r="AJ67" i="30" s="1"/>
  <c r="T18" i="30"/>
  <c r="AJ18" i="30" s="1"/>
  <c r="K133" i="26"/>
  <c r="G205" i="30"/>
  <c r="P205" i="30" s="1"/>
  <c r="J108" i="30"/>
  <c r="W86" i="26"/>
  <c r="W133" i="26" s="1"/>
  <c r="T69" i="30"/>
  <c r="AJ69" i="30" s="1"/>
  <c r="T22" i="30"/>
  <c r="AJ22" i="30" s="1"/>
  <c r="S64" i="26"/>
  <c r="G34" i="24"/>
  <c r="F58" i="10" s="1"/>
  <c r="Q258" i="30" s="1"/>
  <c r="AG258" i="30" s="1"/>
  <c r="R51" i="32"/>
  <c r="L247" i="30"/>
  <c r="J250" i="30"/>
  <c r="R243" i="30"/>
  <c r="R242" i="30"/>
  <c r="C31" i="24"/>
  <c r="M31" i="24" s="1"/>
  <c r="S78" i="26"/>
  <c r="K19" i="24"/>
  <c r="K20" i="24"/>
  <c r="S41" i="26"/>
  <c r="S51" i="26"/>
  <c r="S57" i="26"/>
  <c r="S80" i="26"/>
  <c r="K21" i="24"/>
  <c r="K22" i="24"/>
  <c r="Q29" i="32"/>
  <c r="C9" i="24"/>
  <c r="C12" i="24"/>
  <c r="C15" i="24"/>
  <c r="C18" i="24"/>
  <c r="V243" i="30"/>
  <c r="V242" i="30"/>
  <c r="K10" i="24"/>
  <c r="K13" i="24"/>
  <c r="J159" i="30"/>
  <c r="S231" i="30"/>
  <c r="G12" i="20"/>
  <c r="K12" i="24"/>
  <c r="K17" i="24"/>
  <c r="S45" i="26"/>
  <c r="S76" i="26"/>
  <c r="K7" i="24"/>
  <c r="K14" i="24"/>
  <c r="C23" i="24"/>
  <c r="L109" i="30"/>
  <c r="I29" i="32"/>
  <c r="R27" i="32"/>
  <c r="K29" i="32"/>
  <c r="G29" i="32"/>
  <c r="J64" i="32"/>
  <c r="H16" i="12" s="1"/>
  <c r="D31" i="24"/>
  <c r="N31" i="24" s="1"/>
  <c r="D24" i="24"/>
  <c r="J24" i="24"/>
  <c r="G14" i="20"/>
  <c r="G45" i="20"/>
  <c r="G33" i="20"/>
  <c r="G11" i="20"/>
  <c r="E15" i="20"/>
  <c r="G27" i="20"/>
  <c r="G10" i="20"/>
  <c r="G21" i="20"/>
  <c r="L256" i="30"/>
  <c r="E260" i="30"/>
  <c r="R12" i="30"/>
  <c r="AH12" i="30" s="1"/>
  <c r="E87" i="26"/>
  <c r="E132" i="26" s="1"/>
  <c r="T233" i="30"/>
  <c r="T98" i="30"/>
  <c r="AJ98" i="30" s="1"/>
  <c r="F15" i="10"/>
  <c r="G191" i="30"/>
  <c r="T127" i="30"/>
  <c r="AJ127" i="30" s="1"/>
  <c r="T94" i="30"/>
  <c r="AJ94" i="30" s="1"/>
  <c r="L66" i="30"/>
  <c r="J205" i="30"/>
  <c r="U205" i="30" s="1"/>
  <c r="L206" i="30"/>
  <c r="L146" i="30"/>
  <c r="E156" i="30"/>
  <c r="E138" i="30"/>
  <c r="E15" i="28" s="1"/>
  <c r="T122" i="30"/>
  <c r="AJ122" i="30" s="1"/>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58" i="30"/>
  <c r="AH258" i="30" s="1"/>
  <c r="R240" i="30"/>
  <c r="R214" i="30"/>
  <c r="AO10" i="30"/>
  <c r="T34" i="30"/>
  <c r="AJ34"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H274" i="30"/>
  <c r="Q91" i="26"/>
  <c r="U214" i="30"/>
  <c r="V69" i="30"/>
  <c r="AL69"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112" i="30"/>
  <c r="AG112" i="30" s="1"/>
  <c r="Q71" i="30"/>
  <c r="AG71" i="30" s="1"/>
  <c r="P152" i="30"/>
  <c r="AF152" i="30" s="1"/>
  <c r="P85" i="30"/>
  <c r="AF85"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85" i="30"/>
  <c r="AH85" i="30" s="1"/>
  <c r="R25" i="30"/>
  <c r="AH25" i="30" s="1"/>
  <c r="R53" i="30"/>
  <c r="AH53" i="30" s="1"/>
  <c r="Q75" i="30"/>
  <c r="AG75" i="30" s="1"/>
  <c r="P134" i="30"/>
  <c r="AF134" i="30" s="1"/>
  <c r="P112" i="30"/>
  <c r="AF112" i="30" s="1"/>
  <c r="P73" i="30"/>
  <c r="AF73" i="30" s="1"/>
  <c r="P37" i="30"/>
  <c r="AF37" i="30" s="1"/>
  <c r="P16" i="30"/>
  <c r="AF16" i="30" s="1"/>
  <c r="G27" i="30"/>
  <c r="AD68" i="26"/>
  <c r="AF49" i="26"/>
  <c r="Q84" i="26"/>
  <c r="AF83" i="26"/>
  <c r="Q82" i="26"/>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P258" i="30"/>
  <c r="AF25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E23" i="28"/>
  <c r="C15" i="20"/>
  <c r="C28" i="28"/>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2"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N64" i="32"/>
  <c r="L16" i="12" s="1"/>
  <c r="R28" i="32"/>
  <c r="R55"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R60" i="32"/>
  <c r="M64" i="32"/>
  <c r="K16" i="12" s="1"/>
  <c r="O29" i="32"/>
  <c r="U135" i="30"/>
  <c r="AK135" i="30" s="1"/>
  <c r="V135" i="30"/>
  <c r="AL135" i="30" s="1"/>
  <c r="K135" i="30"/>
  <c r="L135" i="30" s="1"/>
  <c r="U45" i="30"/>
  <c r="V45" i="30"/>
  <c r="O100" i="30"/>
  <c r="P100" i="30"/>
  <c r="K100" i="30"/>
  <c r="O87" i="30"/>
  <c r="P87" i="30"/>
  <c r="K87" i="30"/>
  <c r="L87" i="30" s="1"/>
  <c r="L164" i="30"/>
  <c r="J163" i="30"/>
  <c r="L64" i="32"/>
  <c r="J16" i="12" s="1"/>
  <c r="R14" i="32"/>
  <c r="P8" i="12" s="1"/>
  <c r="I28" i="28" s="1"/>
  <c r="H79" i="26"/>
  <c r="W79" i="26" s="1"/>
  <c r="I79" i="26"/>
  <c r="X79" i="26" s="1"/>
  <c r="J79" i="26"/>
  <c r="Y79" i="26" s="1"/>
  <c r="M79" i="26"/>
  <c r="K79" i="26"/>
  <c r="Z79" i="26" s="1"/>
  <c r="G79" i="26"/>
  <c r="L79" i="26"/>
  <c r="AA79" i="26" s="1"/>
  <c r="N79" i="26"/>
  <c r="U112" i="30"/>
  <c r="AK112" i="30" s="1"/>
  <c r="V112" i="30"/>
  <c r="AL112" i="30" s="1"/>
  <c r="K112" i="30"/>
  <c r="L112" i="30" s="1"/>
  <c r="V94" i="30"/>
  <c r="U94" i="30"/>
  <c r="O84" i="26"/>
  <c r="AB84" i="26"/>
  <c r="S210" i="30"/>
  <c r="AD55" i="26"/>
  <c r="I71" i="26"/>
  <c r="X71" i="26" s="1"/>
  <c r="J71" i="26"/>
  <c r="Y71" i="26" s="1"/>
  <c r="L71" i="26"/>
  <c r="AA71" i="26" s="1"/>
  <c r="N71" i="26"/>
  <c r="G71" i="26"/>
  <c r="V71" i="26" s="1"/>
  <c r="H71" i="26"/>
  <c r="W71" i="26" s="1"/>
  <c r="M71" i="26"/>
  <c r="K71" i="26"/>
  <c r="H64" i="32"/>
  <c r="F16" i="12" s="1"/>
  <c r="R12" i="32"/>
  <c r="E24" i="24"/>
  <c r="N22" i="24" s="1"/>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V179" i="30"/>
  <c r="U180" i="30"/>
  <c r="V180" i="30"/>
  <c r="V132" i="30"/>
  <c r="U132" i="30"/>
  <c r="U104" i="30"/>
  <c r="AK104" i="30" s="1"/>
  <c r="V104" i="30"/>
  <c r="AL104" i="30" s="1"/>
  <c r="U85" i="30"/>
  <c r="V85" i="30"/>
  <c r="U42" i="30"/>
  <c r="V42" i="30"/>
  <c r="V33" i="30"/>
  <c r="U33" i="30"/>
  <c r="U11" i="30"/>
  <c r="V11" i="30"/>
  <c r="AL11" i="30" s="1"/>
  <c r="S125" i="30"/>
  <c r="AI125" i="30" s="1"/>
  <c r="T125" i="30"/>
  <c r="S112" i="30"/>
  <c r="T112"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M42" i="26"/>
  <c r="N42" i="26"/>
  <c r="AI136" i="30"/>
  <c r="Z133" i="26"/>
  <c r="N9" i="24" l="1"/>
  <c r="P242" i="30"/>
  <c r="O79" i="26"/>
  <c r="V79" i="26"/>
  <c r="I274" i="30"/>
  <c r="T85" i="30"/>
  <c r="AJ85" i="30" s="1"/>
  <c r="G274" i="30"/>
  <c r="K85" i="30"/>
  <c r="K274" i="30" s="1"/>
  <c r="E134" i="26"/>
  <c r="O242" i="30"/>
  <c r="U243" i="30"/>
  <c r="S242" i="30"/>
  <c r="U242" i="30"/>
  <c r="S243" i="30"/>
  <c r="I25" i="24"/>
  <c r="G64" i="32"/>
  <c r="E16" i="12" s="1"/>
  <c r="F64" i="32"/>
  <c r="D16" i="12" s="1"/>
  <c r="P64" i="32"/>
  <c r="N16" i="12" s="1"/>
  <c r="K64" i="32"/>
  <c r="I16" i="12" s="1"/>
  <c r="G250" i="30"/>
  <c r="P250" i="30" s="1"/>
  <c r="H205" i="30"/>
  <c r="R205" i="30" s="1"/>
  <c r="I205" i="30"/>
  <c r="T205" i="30" s="1"/>
  <c r="G224" i="30"/>
  <c r="V108" i="30"/>
  <c r="AL108" i="30" s="1"/>
  <c r="U108" i="30"/>
  <c r="AK108" i="30" s="1"/>
  <c r="Q243" i="30"/>
  <c r="Q242" i="30"/>
  <c r="N18" i="24"/>
  <c r="T258" i="30"/>
  <c r="AJ258" i="30" s="1"/>
  <c r="AP258" i="30" s="1"/>
  <c r="T243" i="30"/>
  <c r="Z243" i="30" s="1"/>
  <c r="T242" i="30"/>
  <c r="D34" i="24"/>
  <c r="L58" i="10" s="1"/>
  <c r="Q64" i="32"/>
  <c r="O16" i="12" s="1"/>
  <c r="K24" i="24"/>
  <c r="C24" i="24"/>
  <c r="M8" i="24" s="1"/>
  <c r="O205" i="30"/>
  <c r="R29" i="32"/>
  <c r="P10" i="12" s="1"/>
  <c r="J28" i="28" s="1"/>
  <c r="I64" i="32"/>
  <c r="G16" i="12" s="1"/>
  <c r="O64" i="32"/>
  <c r="M16" i="12" s="1"/>
  <c r="N15" i="24"/>
  <c r="V205" i="30"/>
  <c r="G15" i="20"/>
  <c r="I250" i="30"/>
  <c r="S250" i="30" s="1"/>
  <c r="AI250" i="30" s="1"/>
  <c r="H250" i="30"/>
  <c r="E251" i="30"/>
  <c r="E22" i="28" s="1"/>
  <c r="J215" i="30"/>
  <c r="J221" i="30" s="1"/>
  <c r="G138" i="30"/>
  <c r="G215" i="30"/>
  <c r="G221" i="30" s="1"/>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19" i="24"/>
  <c r="G25" i="24"/>
  <c r="M10" i="24"/>
  <c r="M16" i="24"/>
  <c r="M9" i="24"/>
  <c r="M20" i="24"/>
  <c r="M12" i="24"/>
  <c r="F25" i="24"/>
  <c r="M21" i="24"/>
  <c r="M22"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I112" i="30"/>
  <c r="W112" i="30"/>
  <c r="Y112" i="30"/>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AB77" i="26"/>
  <c r="Q77" i="26"/>
  <c r="S21" i="26"/>
  <c r="AG82" i="26"/>
  <c r="O31" i="24"/>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AB79" i="26"/>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AJ112" i="30"/>
  <c r="AP112" i="30" s="1"/>
  <c r="Z112" i="30"/>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L85"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E114"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K85" i="30"/>
  <c r="Y85" i="30"/>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AP85" i="30" l="1"/>
  <c r="M17" i="24"/>
  <c r="M14" i="24"/>
  <c r="M15" i="24"/>
  <c r="M13" i="24"/>
  <c r="M23" i="24"/>
  <c r="D25" i="24"/>
  <c r="M7" i="24"/>
  <c r="M24" i="24" s="1"/>
  <c r="M11" i="24"/>
  <c r="AF79" i="26"/>
  <c r="W85" i="30"/>
  <c r="Z85" i="30"/>
  <c r="L85" i="30"/>
  <c r="Z258" i="30"/>
  <c r="N32" i="24"/>
  <c r="E32" i="24"/>
  <c r="E117" i="30"/>
  <c r="E226" i="30"/>
  <c r="E20" i="28" s="1"/>
  <c r="I224" i="30"/>
  <c r="S224" i="30" s="1"/>
  <c r="J224" i="30"/>
  <c r="U224" i="30" s="1"/>
  <c r="H224" i="30"/>
  <c r="R224" i="30" s="1"/>
  <c r="O250" i="30"/>
  <c r="AE250" i="30" s="1"/>
  <c r="Y242" i="30"/>
  <c r="Y243" i="30"/>
  <c r="W258" i="30"/>
  <c r="R64" i="32"/>
  <c r="P16" i="12" s="1"/>
  <c r="H28" i="28" s="1"/>
  <c r="Q205" i="30"/>
  <c r="H215" i="30"/>
  <c r="H221" i="30" s="1"/>
  <c r="Z205" i="30"/>
  <c r="K205" i="30"/>
  <c r="L205" i="30" s="1"/>
  <c r="S205" i="30"/>
  <c r="I215" i="30"/>
  <c r="I221" i="30" s="1"/>
  <c r="AM258" i="30"/>
  <c r="AQ258" i="30" s="1"/>
  <c r="AR258" i="30" s="1"/>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M112" i="30"/>
  <c r="AO112" i="30"/>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L17" i="28" s="1"/>
  <c r="P138" i="30"/>
  <c r="AG48" i="26"/>
  <c r="AC129" i="26"/>
  <c r="V237" i="30"/>
  <c r="U237" i="30"/>
  <c r="AH82" i="26"/>
  <c r="AA89" i="30"/>
  <c r="AB89" i="30" s="1"/>
  <c r="O49" i="30"/>
  <c r="AA53" i="30"/>
  <c r="R137" i="26"/>
  <c r="N138" i="26"/>
  <c r="K64" i="10" s="1"/>
  <c r="AP35" i="30"/>
  <c r="AF38" i="30"/>
  <c r="AP24" i="30"/>
  <c r="AM24" i="30"/>
  <c r="AL27" i="30"/>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J114" i="30"/>
  <c r="AA133" i="30"/>
  <c r="AB133" i="30" s="1"/>
  <c r="N24" i="24"/>
  <c r="AP67" i="30"/>
  <c r="AM67" i="30"/>
  <c r="A33" i="28"/>
  <c r="C34" i="28"/>
  <c r="AQ120" i="30"/>
  <c r="AR120" i="30" s="1"/>
  <c r="Y138" i="26"/>
  <c r="G70" i="10" s="1"/>
  <c r="P81" i="30"/>
  <c r="O81" i="30"/>
  <c r="G135" i="26"/>
  <c r="D57" i="10" s="1"/>
  <c r="AM110" i="30"/>
  <c r="AO110" i="30"/>
  <c r="AF128" i="30"/>
  <c r="AP121" i="30"/>
  <c r="AA132" i="30"/>
  <c r="AB132" i="30" s="1"/>
  <c r="AM53" i="30"/>
  <c r="AP53" i="30"/>
  <c r="Y38" i="30"/>
  <c r="AO25" i="30"/>
  <c r="AM25" i="30"/>
  <c r="AE27" i="30"/>
  <c r="AM11" i="30"/>
  <c r="AK19" i="30"/>
  <c r="AK29" i="30" s="1"/>
  <c r="L11" i="28" s="1"/>
  <c r="AF38" i="26"/>
  <c r="AF108" i="30"/>
  <c r="AP108" i="30" s="1"/>
  <c r="Z108" i="30"/>
  <c r="Q87" i="26"/>
  <c r="S69" i="26"/>
  <c r="Z46" i="30"/>
  <c r="AA42" i="30"/>
  <c r="AO98" i="30"/>
  <c r="AM98" i="30"/>
  <c r="AM134" i="30"/>
  <c r="AO134" i="30"/>
  <c r="AO133" i="30"/>
  <c r="AM133" i="30"/>
  <c r="AE108" i="30"/>
  <c r="W108" i="30"/>
  <c r="Y108" i="30"/>
  <c r="O138" i="30"/>
  <c r="AA112" i="30"/>
  <c r="AB112" i="30" s="1"/>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K234" i="30"/>
  <c r="AA131" i="30"/>
  <c r="Z136" i="30"/>
  <c r="AM15" i="30"/>
  <c r="AO15" i="30"/>
  <c r="O138" i="26"/>
  <c r="L64" i="10" s="1"/>
  <c r="Q137" i="26"/>
  <c r="Y19" i="30"/>
  <c r="AA25" i="30"/>
  <c r="AB25" i="30" s="1"/>
  <c r="S106" i="30"/>
  <c r="AI106" i="30" s="1"/>
  <c r="T106" i="30"/>
  <c r="AJ106" i="30" s="1"/>
  <c r="I114" i="30"/>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AA125" i="26"/>
  <c r="AO35" i="30"/>
  <c r="AM35" i="30"/>
  <c r="AE38" i="30"/>
  <c r="AA33" i="30"/>
  <c r="Z38" i="30"/>
  <c r="W38" i="30"/>
  <c r="S73" i="26"/>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H114" i="30"/>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AO85" i="30"/>
  <c r="AM85" i="30"/>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G114"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AH79" i="26" l="1"/>
  <c r="AA85" i="30"/>
  <c r="AB85" i="30" s="1"/>
  <c r="AA258" i="30"/>
  <c r="AB258" i="30" s="1"/>
  <c r="V224" i="30"/>
  <c r="Q224" i="30"/>
  <c r="Y224" i="30" s="1"/>
  <c r="K224" i="30"/>
  <c r="L224" i="30" s="1"/>
  <c r="T224" i="30"/>
  <c r="AH97" i="26"/>
  <c r="AA243" i="30"/>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K114" i="30"/>
  <c r="L114" i="30" s="1"/>
  <c r="AH138" i="30"/>
  <c r="Q142" i="30"/>
  <c r="AG142" i="30" s="1"/>
  <c r="AQ71" i="30"/>
  <c r="AR71" i="30" s="1"/>
  <c r="AH69" i="26"/>
  <c r="P142" i="30"/>
  <c r="AF142" i="30" s="1"/>
  <c r="P151" i="30"/>
  <c r="AF151" i="30" s="1"/>
  <c r="P160" i="30"/>
  <c r="AF160" i="30" s="1"/>
  <c r="AQ110" i="30"/>
  <c r="AR110" i="30" s="1"/>
  <c r="P163" i="30"/>
  <c r="AF163" i="30" s="1"/>
  <c r="AQ112" i="30"/>
  <c r="AR112"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L12" i="28" s="1"/>
  <c r="AE29" i="30"/>
  <c r="I11" i="28" s="1"/>
  <c r="Y234" i="30"/>
  <c r="AA108" i="30"/>
  <c r="AB108" i="30" s="1"/>
  <c r="AQ67" i="30"/>
  <c r="AR67" i="30" s="1"/>
  <c r="AQ96" i="30"/>
  <c r="AR96" i="30" s="1"/>
  <c r="AQ14" i="30"/>
  <c r="AR14" i="30" s="1"/>
  <c r="AQ183" i="30"/>
  <c r="AR183" i="30" s="1"/>
  <c r="AG87" i="26"/>
  <c r="AH65" i="26"/>
  <c r="AF87" i="26"/>
  <c r="E14" i="28"/>
  <c r="E270" i="30"/>
  <c r="E272" i="30" s="1"/>
  <c r="E228" i="30"/>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W224" i="30" l="1"/>
  <c r="Z224" i="30"/>
  <c r="E24" i="28"/>
  <c r="G17" i="28"/>
  <c r="AA205" i="30"/>
  <c r="AB205" i="30" s="1"/>
  <c r="K221" i="30"/>
  <c r="L221" i="30" s="1"/>
  <c r="AA250" i="30"/>
  <c r="AB250" i="30" s="1"/>
  <c r="R130" i="26"/>
  <c r="S129" i="26"/>
  <c r="AM49" i="30"/>
  <c r="AO29" i="30"/>
  <c r="H11" i="28" s="1"/>
  <c r="AG130" i="26"/>
  <c r="AO49" i="30"/>
  <c r="H12" i="28" s="1"/>
  <c r="AO138" i="30"/>
  <c r="H15" i="28"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E253" i="30"/>
  <c r="E267" i="30"/>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E273" i="30"/>
  <c r="E275" i="30"/>
  <c r="E276" i="30" s="1"/>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AA224" i="30" l="1"/>
  <c r="AB224" i="30" s="1"/>
  <c r="G15" i="28"/>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117" i="30" s="1"/>
  <c r="I270" i="30" s="1"/>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117" i="30" s="1"/>
  <c r="H270" i="30" s="1"/>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J117" i="30" s="1"/>
  <c r="J270" i="30" s="1"/>
  <c r="AK176" i="30"/>
  <c r="L16" i="28" s="1"/>
  <c r="AJ176" i="30"/>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I228" i="30"/>
  <c r="I267" i="30" s="1"/>
  <c r="AA163" i="30"/>
  <c r="AB163" i="30" s="1"/>
  <c r="J272" i="30"/>
  <c r="J275" i="30" s="1"/>
  <c r="J276" i="30" s="1"/>
  <c r="J48" i="10" s="1"/>
  <c r="AQ149" i="30"/>
  <c r="AR149" i="30" s="1"/>
  <c r="H272" i="30"/>
  <c r="H275" i="30" s="1"/>
  <c r="H276" i="30" s="1"/>
  <c r="F48" i="1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J228" i="30"/>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H228" i="30"/>
  <c r="H267" i="30" s="1"/>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I272"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K117" i="30" s="1"/>
  <c r="K270" i="30" s="1"/>
  <c r="AF249" i="30"/>
  <c r="AP249" i="30" s="1"/>
  <c r="Z249" i="30"/>
  <c r="Z174" i="30"/>
  <c r="AA159" i="30"/>
  <c r="V117" i="26"/>
  <c r="D25" i="10" s="1"/>
  <c r="AO174" i="30"/>
  <c r="G117"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L13" i="28" s="1"/>
  <c r="G119" i="26"/>
  <c r="G121" i="26" s="1"/>
  <c r="H122" i="26" s="1"/>
  <c r="E55" i="10" s="1"/>
  <c r="AA169" i="30"/>
  <c r="AB169" i="30" s="1"/>
  <c r="AO65" i="30" l="1"/>
  <c r="AG57" i="30"/>
  <c r="J13" i="28" s="1"/>
  <c r="D49" i="10"/>
  <c r="G241" i="30" s="1"/>
  <c r="AO176" i="30"/>
  <c r="H16" i="28" s="1"/>
  <c r="H49" i="10"/>
  <c r="I241" i="30" s="1"/>
  <c r="I244" i="30" s="1"/>
  <c r="J49" i="10"/>
  <c r="J257" i="30" s="1"/>
  <c r="L91" i="30"/>
  <c r="H273" i="30"/>
  <c r="F47" i="10" s="1"/>
  <c r="AQ159" i="30"/>
  <c r="AR159" i="30" s="1"/>
  <c r="J273" i="30"/>
  <c r="J47" i="10" s="1"/>
  <c r="AJ54" i="30"/>
  <c r="AJ57" i="30" s="1"/>
  <c r="AL176" i="30"/>
  <c r="AM156" i="30"/>
  <c r="AM176" i="30" s="1"/>
  <c r="AA249" i="30"/>
  <c r="AB249" i="30" s="1"/>
  <c r="K272" i="30"/>
  <c r="K273" i="30" s="1"/>
  <c r="L47" i="1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J267" i="30"/>
  <c r="M122" i="26"/>
  <c r="J55" i="10" s="1"/>
  <c r="M124" i="26"/>
  <c r="M126" i="26" s="1"/>
  <c r="I275" i="30"/>
  <c r="I276" i="30" s="1"/>
  <c r="H48" i="10" s="1"/>
  <c r="I273" i="30"/>
  <c r="H47" i="10" s="1"/>
  <c r="AC124" i="26"/>
  <c r="AG121" i="26"/>
  <c r="AH54" i="30"/>
  <c r="AH57" i="30" s="1"/>
  <c r="M105" i="26"/>
  <c r="M104" i="26"/>
  <c r="M109" i="26"/>
  <c r="M111" i="26"/>
  <c r="M103" i="26"/>
  <c r="AB103" i="26" s="1"/>
  <c r="M110" i="26"/>
  <c r="M102" i="26"/>
  <c r="M101" i="26"/>
  <c r="M108" i="26"/>
  <c r="M100" i="26"/>
  <c r="M106" i="26"/>
  <c r="M107" i="26"/>
  <c r="G270" i="30"/>
  <c r="G272" i="30" s="1"/>
  <c r="L117" i="30"/>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K228" i="30"/>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G228" i="30"/>
  <c r="L140" i="26"/>
  <c r="AQ65" i="30" l="1"/>
  <c r="AR65" i="30" s="1"/>
  <c r="G16" i="28"/>
  <c r="AI57" i="30"/>
  <c r="K13" i="28" s="1"/>
  <c r="J248" i="30"/>
  <c r="V248" i="30" s="1"/>
  <c r="AL248" i="30" s="1"/>
  <c r="I248" i="30"/>
  <c r="I251" i="30" s="1"/>
  <c r="G257" i="30"/>
  <c r="G260" i="30" s="1"/>
  <c r="G281" i="30" s="1"/>
  <c r="J241" i="30"/>
  <c r="J244" i="30" s="1"/>
  <c r="I257" i="30"/>
  <c r="I260" i="30" s="1"/>
  <c r="I281" i="30" s="1"/>
  <c r="AQ174" i="30"/>
  <c r="AR174" i="30" s="1"/>
  <c r="K275" i="30"/>
  <c r="K276" i="30" s="1"/>
  <c r="L48" i="1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K267"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G267" i="30"/>
  <c r="L228" i="30"/>
  <c r="K112" i="26"/>
  <c r="K114" i="26" s="1"/>
  <c r="K115" i="26" s="1"/>
  <c r="H52" i="10" s="1"/>
  <c r="Z101" i="26"/>
  <c r="R101" i="26"/>
  <c r="AC101" i="26"/>
  <c r="AG101" i="26" s="1"/>
  <c r="AR156" i="30"/>
  <c r="T191" i="30"/>
  <c r="AJ187" i="30"/>
  <c r="AJ191" i="30"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G273" i="30"/>
  <c r="D47" i="10" s="1"/>
  <c r="M47" i="10" s="1"/>
  <c r="G275" i="30"/>
  <c r="G276" i="30" s="1"/>
  <c r="D48" i="10" s="1"/>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AF257" i="30" s="1"/>
  <c r="G282" i="30"/>
  <c r="P244" i="30"/>
  <c r="AF242" i="30"/>
  <c r="AF243" i="30"/>
  <c r="AH243" i="30"/>
  <c r="AH242" i="30"/>
  <c r="AJ242" i="30"/>
  <c r="AJ243" i="30"/>
  <c r="U248" i="30"/>
  <c r="AK248" i="30" s="1"/>
  <c r="J251" i="30"/>
  <c r="J253" i="30" s="1"/>
  <c r="S248" i="30"/>
  <c r="AI248" i="30" s="1"/>
  <c r="U241" i="30"/>
  <c r="T248" i="30"/>
  <c r="AJ248" i="30" s="1"/>
  <c r="K248" i="30"/>
  <c r="K251" i="30" s="1"/>
  <c r="O257" i="30"/>
  <c r="AE257" i="30" s="1"/>
  <c r="V241" i="30"/>
  <c r="S257" i="30"/>
  <c r="AI257" i="30" s="1"/>
  <c r="T257" i="30"/>
  <c r="AJ257" i="30" s="1"/>
  <c r="M48" i="10"/>
  <c r="Z196" i="30"/>
  <c r="G253"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T114" i="30"/>
  <c r="AJ95" i="30"/>
  <c r="AJ114" i="30" s="1"/>
  <c r="Q198" i="30"/>
  <c r="AG194" i="30"/>
  <c r="AG198" i="30" s="1"/>
  <c r="J19" i="28" s="1"/>
  <c r="AF62" i="30"/>
  <c r="AF91" i="30" s="1"/>
  <c r="P91" i="30"/>
  <c r="S105" i="26"/>
  <c r="AK187" i="30"/>
  <c r="AK191" i="30" s="1"/>
  <c r="L18" i="28" s="1"/>
  <c r="U191" i="30"/>
  <c r="S104" i="26"/>
  <c r="V104" i="26"/>
  <c r="AD104" i="26" s="1"/>
  <c r="J29" i="10"/>
  <c r="AP197" i="30"/>
  <c r="O191" i="30"/>
  <c r="Y187" i="30"/>
  <c r="AE187" i="30"/>
  <c r="W187" i="30"/>
  <c r="L26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R114" i="30"/>
  <c r="AH95" i="30"/>
  <c r="AH114" i="30" s="1"/>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I253" i="30"/>
  <c r="P114" i="30"/>
  <c r="AF95" i="30"/>
  <c r="AF114" i="30" s="1"/>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I287" i="30" s="1"/>
  <c r="G284" i="30"/>
  <c r="AP187" i="30"/>
  <c r="AP191" i="30" s="1"/>
  <c r="Q244" i="30"/>
  <c r="AE241" i="30"/>
  <c r="AE243" i="30"/>
  <c r="AE242" i="30"/>
  <c r="AG242" i="30"/>
  <c r="AG243" i="30"/>
  <c r="AI241" i="30"/>
  <c r="AI242" i="30"/>
  <c r="AI243" i="30"/>
  <c r="Y241" i="30"/>
  <c r="L251" i="30"/>
  <c r="L248" i="30"/>
  <c r="K253" i="30"/>
  <c r="K265" i="30" s="1"/>
  <c r="K266" i="30" s="1"/>
  <c r="AF110" i="26"/>
  <c r="AH110" i="26" s="1"/>
  <c r="AH109" i="26"/>
  <c r="Y198" i="30"/>
  <c r="AA197" i="30"/>
  <c r="AB197" i="30" s="1"/>
  <c r="AA195" i="30"/>
  <c r="AB195" i="30" s="1"/>
  <c r="AJ117" i="30"/>
  <c r="J287" i="30"/>
  <c r="J263" i="30" s="1"/>
  <c r="U263" i="30" s="1"/>
  <c r="AK263" i="30" s="1"/>
  <c r="L25" i="28" s="1"/>
  <c r="T117" i="30"/>
  <c r="R244" i="30"/>
  <c r="W241" i="30"/>
  <c r="Z241" i="30"/>
  <c r="AA189" i="30"/>
  <c r="AB189" i="30" s="1"/>
  <c r="Y248" i="30"/>
  <c r="W248" i="30"/>
  <c r="AM248" i="30"/>
  <c r="S112" i="26"/>
  <c r="S114" i="26" s="1"/>
  <c r="S115" i="26" s="1"/>
  <c r="Z191" i="30"/>
  <c r="L244"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AF117" i="30"/>
  <c r="T260" i="30"/>
  <c r="AJ256" i="30"/>
  <c r="AJ260" i="30" s="1"/>
  <c r="AF104" i="26"/>
  <c r="AH104" i="26" s="1"/>
  <c r="U114" i="30"/>
  <c r="AK95" i="30"/>
  <c r="AK114" i="30" s="1"/>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P117" i="30"/>
  <c r="AF111" i="26"/>
  <c r="AH111" i="26" s="1"/>
  <c r="AF126" i="26"/>
  <c r="AG127" i="26" s="1"/>
  <c r="AB140" i="26"/>
  <c r="AC141" i="26" s="1"/>
  <c r="K71" i="10" s="1"/>
  <c r="AB127" i="26"/>
  <c r="J67" i="10" s="1"/>
  <c r="R117" i="30"/>
  <c r="AE103" i="30"/>
  <c r="Y103" i="30"/>
  <c r="AE78" i="30"/>
  <c r="Y78" i="30"/>
  <c r="AE82" i="30"/>
  <c r="Y82" i="30"/>
  <c r="AG235" i="30"/>
  <c r="AP248" i="30"/>
  <c r="G286" i="30"/>
  <c r="AA187" i="30"/>
  <c r="W191" i="30"/>
  <c r="AO257" i="30"/>
  <c r="AM257" i="30"/>
  <c r="T251" i="30"/>
  <c r="AJ247" i="30"/>
  <c r="AJ251" i="30"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H117" i="30"/>
  <c r="AE80" i="30"/>
  <c r="Y80" i="30"/>
  <c r="AE90" i="30"/>
  <c r="Y90" i="30"/>
  <c r="AE66" i="30"/>
  <c r="Y66" i="30"/>
  <c r="AJ244" i="30"/>
  <c r="AE191" i="30"/>
  <c r="I18" i="28" s="1"/>
  <c r="AM187" i="30"/>
  <c r="AO187" i="30"/>
  <c r="W257" i="30"/>
  <c r="AJ206" i="30"/>
  <c r="AJ215" i="30" s="1"/>
  <c r="AJ221" i="30" s="1"/>
  <c r="T215" i="30"/>
  <c r="T221" i="30" s="1"/>
  <c r="T226" i="30"/>
  <c r="AF105" i="26"/>
  <c r="AH105" i="26" s="1"/>
  <c r="H253" i="30"/>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I114" i="30" s="1"/>
  <c r="S114" i="30"/>
  <c r="AE88" i="30"/>
  <c r="Y88" i="30"/>
  <c r="O114"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AG114" i="30" s="1"/>
  <c r="Q114" i="30"/>
  <c r="L257" i="30"/>
  <c r="AO188" i="30"/>
  <c r="AM188" i="30"/>
  <c r="AA194" i="30"/>
  <c r="AP257" i="30"/>
  <c r="AG241" i="30"/>
  <c r="AK235" i="30"/>
  <c r="U244" i="30"/>
  <c r="AH256" i="30"/>
  <c r="AH260" i="30" s="1"/>
  <c r="R260" i="30"/>
  <c r="I263" i="30" l="1"/>
  <c r="I265" i="30" s="1"/>
  <c r="I266" i="30" s="1"/>
  <c r="G287" i="30"/>
  <c r="G263" i="30" s="1"/>
  <c r="P263" i="30" s="1"/>
  <c r="H284" i="30"/>
  <c r="H287" i="30" s="1"/>
  <c r="AF215" i="30"/>
  <c r="AF221" i="30" s="1"/>
  <c r="Y244" i="30"/>
  <c r="J265" i="30"/>
  <c r="J266" i="30" s="1"/>
  <c r="AA241" i="30"/>
  <c r="AB241" i="30" s="1"/>
  <c r="W244" i="30"/>
  <c r="AA248" i="30"/>
  <c r="AB248" i="30" s="1"/>
  <c r="T228" i="30"/>
  <c r="T267" i="30" s="1"/>
  <c r="AF226" i="30"/>
  <c r="AF228" i="30" s="1"/>
  <c r="AQ187" i="30"/>
  <c r="AR187" i="30" s="1"/>
  <c r="AA257" i="30"/>
  <c r="AB257" i="30" s="1"/>
  <c r="AQ197" i="30"/>
  <c r="AR197" i="30" s="1"/>
  <c r="AK117" i="30"/>
  <c r="L14" i="28" s="1"/>
  <c r="AQ236" i="30"/>
  <c r="AQ194" i="30"/>
  <c r="AR194" i="30" s="1"/>
  <c r="AQ190" i="30"/>
  <c r="AR190" i="30" s="1"/>
  <c r="AQ257" i="30"/>
  <c r="AR257" i="30" s="1"/>
  <c r="AQ196" i="30"/>
  <c r="AR196" i="30" s="1"/>
  <c r="Y114" i="30"/>
  <c r="AQ188" i="30"/>
  <c r="AR188" i="30" s="1"/>
  <c r="AH103" i="26"/>
  <c r="AH112" i="26" s="1"/>
  <c r="AH114" i="26" s="1"/>
  <c r="AD112" i="26"/>
  <c r="AD114" i="26" s="1"/>
  <c r="AH228" i="30"/>
  <c r="AH253" i="30" s="1"/>
  <c r="AH215" i="30"/>
  <c r="AH221" i="30" s="1"/>
  <c r="AO107" i="30"/>
  <c r="AI117" i="30"/>
  <c r="AO78" i="30"/>
  <c r="AL74" i="30"/>
  <c r="AP74" i="30" s="1"/>
  <c r="Z74" i="30"/>
  <c r="AG244" i="30"/>
  <c r="J21" i="28" s="1"/>
  <c r="AO90" i="30"/>
  <c r="AL62" i="30"/>
  <c r="AM62" i="30" s="1"/>
  <c r="V91" i="30"/>
  <c r="Z62" i="30"/>
  <c r="AE114"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Q117" i="30"/>
  <c r="AO99" i="30"/>
  <c r="AL99" i="30"/>
  <c r="AP99" i="30" s="1"/>
  <c r="Z99" i="30"/>
  <c r="AA99" i="30" s="1"/>
  <c r="AB99" i="30" s="1"/>
  <c r="V114" i="30"/>
  <c r="AL95" i="30"/>
  <c r="AM95" i="30" s="1"/>
  <c r="Z95" i="30"/>
  <c r="AL66" i="30"/>
  <c r="AP66" i="30" s="1"/>
  <c r="Z66" i="30"/>
  <c r="AA66" i="30" s="1"/>
  <c r="AB66" i="30" s="1"/>
  <c r="AO86" i="30"/>
  <c r="S260" i="30"/>
  <c r="AI256" i="30"/>
  <c r="AI260" i="30" s="1"/>
  <c r="K23" i="28" s="1"/>
  <c r="AO97" i="30"/>
  <c r="P228"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R228" i="30"/>
  <c r="AG117" i="30"/>
  <c r="AQ189" i="30"/>
  <c r="AR189" i="30" s="1"/>
  <c r="AL113" i="30"/>
  <c r="AP113" i="30" s="1"/>
  <c r="Z113" i="30"/>
  <c r="AA113" i="30" s="1"/>
  <c r="AB113" i="30" s="1"/>
  <c r="AL76" i="30"/>
  <c r="AP76" i="30" s="1"/>
  <c r="Z76" i="30"/>
  <c r="Z103" i="30"/>
  <c r="AA103" i="30" s="1"/>
  <c r="AB103" i="30" s="1"/>
  <c r="AL103" i="30"/>
  <c r="AP103" i="30" s="1"/>
  <c r="AO72" i="30"/>
  <c r="U117"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L22" i="28" s="1"/>
  <c r="U251" i="30"/>
  <c r="AA198" i="30"/>
  <c r="AB198" i="30" s="1"/>
  <c r="AB194" i="30"/>
  <c r="Z86" i="30"/>
  <c r="AA86" i="30" s="1"/>
  <c r="AB86" i="30" s="1"/>
  <c r="AL86" i="30"/>
  <c r="AP86" i="30" s="1"/>
  <c r="I13" i="28"/>
  <c r="L253" i="30"/>
  <c r="AO111" i="30"/>
  <c r="AO88" i="30"/>
  <c r="AO74" i="30"/>
  <c r="O117" i="30"/>
  <c r="V263" i="30"/>
  <c r="AL263" i="30" s="1"/>
  <c r="AI247" i="30"/>
  <c r="AI251" i="30" s="1"/>
  <c r="K22" i="28" s="1"/>
  <c r="S251" i="30"/>
  <c r="S117"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L23" i="28" s="1"/>
  <c r="S263" i="30" l="1"/>
  <c r="AI263" i="30" s="1"/>
  <c r="K25" i="28" s="1"/>
  <c r="T263" i="30"/>
  <c r="AJ263" i="30" s="1"/>
  <c r="G18" i="28"/>
  <c r="H263" i="30"/>
  <c r="R263" i="30" s="1"/>
  <c r="AH263" i="30" s="1"/>
  <c r="AH265" i="30" s="1"/>
  <c r="AH266" i="30" s="1"/>
  <c r="G19" i="28"/>
  <c r="AI215" i="30"/>
  <c r="AI221" i="30" s="1"/>
  <c r="AE215" i="30"/>
  <c r="AE221" i="30" s="1"/>
  <c r="AG215" i="30"/>
  <c r="AG221" i="30" s="1"/>
  <c r="AL242" i="30"/>
  <c r="AP242" i="30" s="1"/>
  <c r="AL243" i="30"/>
  <c r="AP243" i="30" s="1"/>
  <c r="G13" i="28"/>
  <c r="O263" i="30"/>
  <c r="AE263" i="30" s="1"/>
  <c r="T253" i="30"/>
  <c r="AM111" i="30"/>
  <c r="AQ111" i="30" s="1"/>
  <c r="AR111" i="30" s="1"/>
  <c r="AH267" i="30"/>
  <c r="G35" i="10" s="1"/>
  <c r="AF253" i="30"/>
  <c r="AF267" i="30"/>
  <c r="E35" i="10" s="1"/>
  <c r="AM105" i="30"/>
  <c r="AQ105" i="30" s="1"/>
  <c r="AR105" i="30" s="1"/>
  <c r="V117" i="30"/>
  <c r="AA68" i="30"/>
  <c r="AB68" i="30" s="1"/>
  <c r="Y117" i="30"/>
  <c r="W114" i="30"/>
  <c r="AE117" i="30"/>
  <c r="I14" i="28" s="1"/>
  <c r="AA105" i="30"/>
  <c r="AB105" i="30" s="1"/>
  <c r="AM74" i="30"/>
  <c r="AQ74" i="30" s="1"/>
  <c r="AR74" i="30" s="1"/>
  <c r="AM68" i="30"/>
  <c r="AQ68" i="30" s="1"/>
  <c r="AR68" i="30" s="1"/>
  <c r="G265" i="30"/>
  <c r="G266" i="30" s="1"/>
  <c r="AA76" i="30"/>
  <c r="AB76" i="30" s="1"/>
  <c r="AM113" i="30"/>
  <c r="AQ113" i="30" s="1"/>
  <c r="AR113" i="30" s="1"/>
  <c r="U228" i="30"/>
  <c r="U253" i="30" s="1"/>
  <c r="U265" i="30" s="1"/>
  <c r="U266"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K14" i="28"/>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S228" i="30"/>
  <c r="AM64" i="30"/>
  <c r="AQ64" i="30" s="1"/>
  <c r="AR64" i="30" s="1"/>
  <c r="AM88" i="30"/>
  <c r="AQ88" i="30" s="1"/>
  <c r="AR88" i="30" s="1"/>
  <c r="AG226" i="30"/>
  <c r="J20" i="28" s="1"/>
  <c r="V226" i="30"/>
  <c r="V215" i="30"/>
  <c r="V221" i="30" s="1"/>
  <c r="AL206" i="30"/>
  <c r="AP206" i="30" s="1"/>
  <c r="Z206" i="30"/>
  <c r="AO206" i="30"/>
  <c r="Q228" i="30"/>
  <c r="AL91" i="30"/>
  <c r="AP62" i="30"/>
  <c r="AA74" i="30"/>
  <c r="AB74" i="30" s="1"/>
  <c r="AI226" i="30"/>
  <c r="K20" i="28" s="1"/>
  <c r="AA235" i="30"/>
  <c r="Z244" i="30"/>
  <c r="P267" i="30"/>
  <c r="P253" i="30"/>
  <c r="P265" i="30" s="1"/>
  <c r="P266" i="30" s="1"/>
  <c r="AM72" i="30"/>
  <c r="AQ72" i="30" s="1"/>
  <c r="AR72" i="30" s="1"/>
  <c r="AE251" i="30"/>
  <c r="I22" i="28" s="1"/>
  <c r="AO247" i="30"/>
  <c r="AO251" i="30" s="1"/>
  <c r="H22" i="28" s="1"/>
  <c r="AQ191" i="30"/>
  <c r="AR191" i="30" s="1"/>
  <c r="O228" i="30"/>
  <c r="T268" i="30"/>
  <c r="I34" i="10"/>
  <c r="L31" i="10"/>
  <c r="L79" i="10" s="1"/>
  <c r="M29" i="10"/>
  <c r="AM82" i="30"/>
  <c r="AQ82" i="30" s="1"/>
  <c r="AR82" i="30" s="1"/>
  <c r="AM70" i="30"/>
  <c r="AQ70" i="30" s="1"/>
  <c r="AR70" i="30" s="1"/>
  <c r="AA78" i="30"/>
  <c r="AB78" i="30" s="1"/>
  <c r="J14" i="28"/>
  <c r="W91" i="30"/>
  <c r="AM97" i="30"/>
  <c r="AQ97" i="30" s="1"/>
  <c r="AR97" i="30" s="1"/>
  <c r="AL114" i="30"/>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O114" i="30"/>
  <c r="AJ228" i="30"/>
  <c r="AM90" i="30"/>
  <c r="AQ90" i="30" s="1"/>
  <c r="AR90" i="30" s="1"/>
  <c r="J31" i="10"/>
  <c r="J79" i="10" s="1"/>
  <c r="M30" i="10"/>
  <c r="Q141" i="26"/>
  <c r="S140" i="26"/>
  <c r="AA95" i="30"/>
  <c r="Z114" i="30"/>
  <c r="AH140" i="26"/>
  <c r="AF141" i="26"/>
  <c r="R253" i="30"/>
  <c r="R267" i="30"/>
  <c r="W256" i="30"/>
  <c r="W260" i="30" s="1"/>
  <c r="AQ57" i="30"/>
  <c r="AR57" i="30" s="1"/>
  <c r="AR54" i="30"/>
  <c r="AM78" i="30"/>
  <c r="AQ78" i="30" s="1"/>
  <c r="AR78" i="30" s="1"/>
  <c r="Q263" i="30" l="1"/>
  <c r="AG263" i="30" s="1"/>
  <c r="AO263" i="30" s="1"/>
  <c r="H265" i="30"/>
  <c r="H266" i="30" s="1"/>
  <c r="E263" i="30"/>
  <c r="L263" i="30" s="1"/>
  <c r="T265" i="30"/>
  <c r="T266" i="30" s="1"/>
  <c r="I25" i="28"/>
  <c r="AK243" i="30"/>
  <c r="AK242" i="30"/>
  <c r="G23" i="28"/>
  <c r="G22" i="28"/>
  <c r="AF265" i="30"/>
  <c r="AF266" i="30" s="1"/>
  <c r="AE228" i="30"/>
  <c r="AE267" i="30" s="1"/>
  <c r="D35" i="10" s="1"/>
  <c r="Y228" i="30"/>
  <c r="Y253" i="30" s="1"/>
  <c r="W117" i="30"/>
  <c r="W228" i="30" s="1"/>
  <c r="W267" i="30" s="1"/>
  <c r="V228" i="30"/>
  <c r="V267" i="30" s="1"/>
  <c r="R265" i="30"/>
  <c r="R266" i="30" s="1"/>
  <c r="U267" i="30"/>
  <c r="U268" i="30" s="1"/>
  <c r="Z117" i="30"/>
  <c r="I24" i="28"/>
  <c r="AG228" i="30"/>
  <c r="AG253" i="30" s="1"/>
  <c r="S267" i="30"/>
  <c r="S253" i="30"/>
  <c r="S265" i="30" s="1"/>
  <c r="S266" i="30" s="1"/>
  <c r="AA91" i="30"/>
  <c r="AB62" i="30"/>
  <c r="AP114" i="30"/>
  <c r="AQ95" i="30"/>
  <c r="AM114" i="30"/>
  <c r="AQ62" i="30"/>
  <c r="AP91"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M91" i="30"/>
  <c r="AB95" i="30"/>
  <c r="AA114" i="30"/>
  <c r="AB114" i="30" s="1"/>
  <c r="AB235" i="30"/>
  <c r="AA244" i="30"/>
  <c r="AB244" i="30" s="1"/>
  <c r="Q267" i="30"/>
  <c r="Q253" i="30"/>
  <c r="J24" i="28"/>
  <c r="Z263" i="30"/>
  <c r="AO117" i="30"/>
  <c r="AL251" i="30"/>
  <c r="AP247" i="30"/>
  <c r="AL219" i="30"/>
  <c r="AP218" i="30"/>
  <c r="AL117" i="30"/>
  <c r="AJ267" i="30"/>
  <c r="I35" i="10" s="1"/>
  <c r="I36" i="10" s="1"/>
  <c r="I80" i="10" s="1"/>
  <c r="AJ253" i="30"/>
  <c r="AJ265" i="30" s="1"/>
  <c r="AJ266" i="30" s="1"/>
  <c r="AL244" i="30"/>
  <c r="AP231" i="30"/>
  <c r="AI228" i="30"/>
  <c r="AL226" i="30"/>
  <c r="AP223" i="30"/>
  <c r="AP201" i="30"/>
  <c r="AL215" i="30"/>
  <c r="M31" i="10"/>
  <c r="AP263" i="30"/>
  <c r="AA206" i="30"/>
  <c r="Z226" i="30"/>
  <c r="Z215" i="30"/>
  <c r="Z221" i="30" s="1"/>
  <c r="AL260" i="30"/>
  <c r="AP256" i="30"/>
  <c r="P268" i="30"/>
  <c r="E34" i="10"/>
  <c r="E36" i="10" s="1"/>
  <c r="E80" i="10" s="1"/>
  <c r="AM206" i="30"/>
  <c r="AQ206" i="30" s="1"/>
  <c r="AR206" i="30" s="1"/>
  <c r="K24" i="28"/>
  <c r="G34" i="10"/>
  <c r="G36" i="10" s="1"/>
  <c r="G80" i="10" s="1"/>
  <c r="R268" i="30"/>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O267" i="30"/>
  <c r="O253" i="30"/>
  <c r="O265" i="30" s="1"/>
  <c r="O266" i="30" s="1"/>
  <c r="Z260" i="30"/>
  <c r="AA256" i="30"/>
  <c r="J25" i="28" l="1"/>
  <c r="AG265" i="30"/>
  <c r="AG266" i="30" s="1"/>
  <c r="Y263" i="30"/>
  <c r="Y265" i="30" s="1"/>
  <c r="Y266" i="30" s="1"/>
  <c r="Q265" i="30"/>
  <c r="Q266" i="30" s="1"/>
  <c r="W263" i="30"/>
  <c r="AM263" i="30"/>
  <c r="AQ263" i="30" s="1"/>
  <c r="AR263" i="30" s="1"/>
  <c r="E265" i="30"/>
  <c r="E266" i="30" s="1"/>
  <c r="L266" i="30" s="1"/>
  <c r="AM242" i="30"/>
  <c r="AO242" i="30"/>
  <c r="AO243" i="30"/>
  <c r="AM243" i="30"/>
  <c r="K26" i="28"/>
  <c r="I26" i="28"/>
  <c r="Y267" i="30"/>
  <c r="AE253" i="30"/>
  <c r="AE265" i="30" s="1"/>
  <c r="AE266" i="30" s="1"/>
  <c r="V253" i="30"/>
  <c r="V265" i="30" s="1"/>
  <c r="V266" i="30" s="1"/>
  <c r="W253" i="30"/>
  <c r="Z228" i="30"/>
  <c r="Z267" i="30" s="1"/>
  <c r="J34" i="10"/>
  <c r="AG267" i="30"/>
  <c r="F35" i="10" s="1"/>
  <c r="AL228" i="30"/>
  <c r="AL253" i="30" s="1"/>
  <c r="AL265" i="30" s="1"/>
  <c r="AL266" i="30" s="1"/>
  <c r="AM202" i="30"/>
  <c r="AO202" i="30"/>
  <c r="AO232" i="30"/>
  <c r="AM232" i="30"/>
  <c r="AO240" i="30"/>
  <c r="AM240" i="30"/>
  <c r="AK244" i="30"/>
  <c r="L21" i="28" s="1"/>
  <c r="AM231" i="30"/>
  <c r="AO231" i="30"/>
  <c r="AO203" i="30"/>
  <c r="AM203" i="30"/>
  <c r="W268" i="30"/>
  <c r="L34" i="10"/>
  <c r="AP219" i="30"/>
  <c r="H14" i="28"/>
  <c r="AA251" i="30"/>
  <c r="AB251" i="30" s="1"/>
  <c r="AB247" i="30"/>
  <c r="AQ114" i="30"/>
  <c r="AR114" i="30" s="1"/>
  <c r="AR95" i="30"/>
  <c r="AA260" i="30"/>
  <c r="AB260" i="30" s="1"/>
  <c r="AB256" i="30"/>
  <c r="AK226" i="30"/>
  <c r="AO223" i="30"/>
  <c r="AM223" i="30"/>
  <c r="AO241" i="30"/>
  <c r="AM241" i="30"/>
  <c r="AO210" i="30"/>
  <c r="AM210" i="30"/>
  <c r="AP244" i="30"/>
  <c r="AP215" i="30"/>
  <c r="AM234" i="30"/>
  <c r="AO234" i="30"/>
  <c r="AA226" i="30"/>
  <c r="AB226" i="30" s="1"/>
  <c r="AA215" i="30"/>
  <c r="AB206" i="30"/>
  <c r="AO224" i="30"/>
  <c r="AM224" i="30"/>
  <c r="AO211" i="30"/>
  <c r="AM211" i="30"/>
  <c r="AO212" i="30"/>
  <c r="AM212" i="30"/>
  <c r="AO237" i="30"/>
  <c r="AM237" i="30"/>
  <c r="AO239" i="30"/>
  <c r="AM239" i="30"/>
  <c r="AM117" i="30"/>
  <c r="AM233" i="30"/>
  <c r="AO233" i="30"/>
  <c r="AI253" i="30"/>
  <c r="AI265" i="30" s="1"/>
  <c r="AI266" i="30" s="1"/>
  <c r="AI267" i="30"/>
  <c r="H35" i="10" s="1"/>
  <c r="AQ247" i="30"/>
  <c r="AP251" i="30"/>
  <c r="F34" i="10"/>
  <c r="Q268" i="30"/>
  <c r="K34" i="10"/>
  <c r="V268" i="30"/>
  <c r="AM213" i="30"/>
  <c r="AO213" i="30"/>
  <c r="AR62" i="30"/>
  <c r="AQ91" i="30"/>
  <c r="AO207" i="30"/>
  <c r="AM207" i="30"/>
  <c r="AP226" i="30"/>
  <c r="AM208" i="30"/>
  <c r="AO208" i="30"/>
  <c r="AK215" i="30"/>
  <c r="AO201" i="30"/>
  <c r="AM201" i="30"/>
  <c r="AP260" i="30"/>
  <c r="AQ256" i="30"/>
  <c r="AB91" i="30"/>
  <c r="AA117" i="30"/>
  <c r="AM214" i="30"/>
  <c r="AO214" i="30"/>
  <c r="AM205" i="30"/>
  <c r="AO205" i="30"/>
  <c r="D34" i="10"/>
  <c r="D36" i="10" s="1"/>
  <c r="D80" i="10" s="1"/>
  <c r="O268" i="30"/>
  <c r="AM204" i="30"/>
  <c r="AO204" i="30"/>
  <c r="AK219" i="30"/>
  <c r="AO218" i="30"/>
  <c r="AO219" i="30" s="1"/>
  <c r="AM218" i="30"/>
  <c r="AM219" i="30" s="1"/>
  <c r="AO209" i="30"/>
  <c r="AM209" i="30"/>
  <c r="AL221" i="30"/>
  <c r="AP117" i="30"/>
  <c r="S268" i="30"/>
  <c r="H34" i="10"/>
  <c r="J26" i="28" l="1"/>
  <c r="AK228" i="30"/>
  <c r="AK253" i="30" s="1"/>
  <c r="AK265" i="30" s="1"/>
  <c r="AK266" i="30" s="1"/>
  <c r="L20" i="28"/>
  <c r="L24" i="28" s="1"/>
  <c r="L26" i="28" s="1"/>
  <c r="L33" i="28" s="1"/>
  <c r="L32" i="28" s="1"/>
  <c r="L34" i="28" s="1"/>
  <c r="L35" i="28" s="1"/>
  <c r="L36" i="28" s="1"/>
  <c r="AA263" i="30"/>
  <c r="AB263" i="30" s="1"/>
  <c r="W265" i="30"/>
  <c r="W266" i="30" s="1"/>
  <c r="L265" i="30"/>
  <c r="AQ242" i="30"/>
  <c r="AR242" i="30" s="1"/>
  <c r="AQ243" i="30"/>
  <c r="AR243" i="30" s="1"/>
  <c r="I33" i="28"/>
  <c r="K33" i="28"/>
  <c r="AP228" i="30"/>
  <c r="AP253" i="30" s="1"/>
  <c r="AP265" i="30" s="1"/>
  <c r="Z253" i="30"/>
  <c r="Z265" i="30" s="1"/>
  <c r="Z266"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F36" i="10"/>
  <c r="F80" i="10" s="1"/>
  <c r="AL267" i="30"/>
  <c r="K35" i="10" s="1"/>
  <c r="K36" i="10" s="1"/>
  <c r="K80" i="10" s="1"/>
  <c r="AA228" i="30"/>
  <c r="AB117" i="30"/>
  <c r="AQ251" i="30"/>
  <c r="AR251" i="30" s="1"/>
  <c r="AR247" i="30"/>
  <c r="AM226" i="30"/>
  <c r="AM228" i="30" s="1"/>
  <c r="AQ223" i="30"/>
  <c r="AR223" i="30" s="1"/>
  <c r="AQ213" i="30"/>
  <c r="AR213" i="30" s="1"/>
  <c r="H36" i="10"/>
  <c r="H80" i="10" s="1"/>
  <c r="AO226" i="30"/>
  <c r="AQ203" i="30"/>
  <c r="AR203" i="30" s="1"/>
  <c r="AQ232" i="30"/>
  <c r="AR232" i="30" s="1"/>
  <c r="AQ239" i="30"/>
  <c r="AR239" i="30" s="1"/>
  <c r="AQ260" i="30"/>
  <c r="AR260" i="30" s="1"/>
  <c r="AR256" i="30"/>
  <c r="AB215" i="30"/>
  <c r="AA221" i="30"/>
  <c r="AB221" i="30" s="1"/>
  <c r="G14" i="28"/>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117" i="30"/>
  <c r="AQ210" i="30"/>
  <c r="AR210" i="30" s="1"/>
  <c r="M34" i="10"/>
  <c r="J33" i="28" l="1"/>
  <c r="AK267" i="30"/>
  <c r="J35" i="10" s="1"/>
  <c r="J36" i="10" s="1"/>
  <c r="J80" i="10" s="1"/>
  <c r="I32" i="28"/>
  <c r="K32" i="28"/>
  <c r="G21" i="28"/>
  <c r="AP267" i="30"/>
  <c r="H20" i="28"/>
  <c r="AO228" i="30"/>
  <c r="AQ226" i="30"/>
  <c r="AR226" i="30" s="1"/>
  <c r="AA267" i="30"/>
  <c r="AB267" i="30" s="1"/>
  <c r="AB228" i="30"/>
  <c r="AA253" i="30"/>
  <c r="AR218" i="30"/>
  <c r="AQ219" i="30"/>
  <c r="AQ215" i="30"/>
  <c r="AP266" i="30"/>
  <c r="AQ244" i="30"/>
  <c r="AR244" i="30" s="1"/>
  <c r="AR117" i="30"/>
  <c r="AM267" i="30"/>
  <c r="L35" i="10" s="1"/>
  <c r="AM253" i="30"/>
  <c r="AM265" i="30" s="1"/>
  <c r="AM266" i="30" s="1"/>
  <c r="J32" i="28" l="1"/>
  <c r="K34" i="28"/>
  <c r="I34" i="28"/>
  <c r="AQ228" i="30"/>
  <c r="AQ267" i="30" s="1"/>
  <c r="AA265" i="30"/>
  <c r="AB253" i="30"/>
  <c r="AO253" i="30"/>
  <c r="AO265" i="30" s="1"/>
  <c r="AO267" i="30"/>
  <c r="L36" i="10"/>
  <c r="L80" i="10" s="1"/>
  <c r="M35" i="10"/>
  <c r="M36" i="10" s="1"/>
  <c r="AR215" i="30"/>
  <c r="AQ221" i="30"/>
  <c r="AR221" i="30" s="1"/>
  <c r="G20" i="28"/>
  <c r="G24" i="28" s="1"/>
  <c r="H24" i="28"/>
  <c r="J34" i="28" l="1"/>
  <c r="K35" i="28"/>
  <c r="I35" i="28"/>
  <c r="H26" i="28"/>
  <c r="AQ253" i="30"/>
  <c r="AR253" i="30" s="1"/>
  <c r="AR228" i="30"/>
  <c r="AO266" i="30"/>
  <c r="AQ265" i="30"/>
  <c r="AA266" i="30"/>
  <c r="AB266" i="30" s="1"/>
  <c r="AB265" i="30"/>
  <c r="J35" i="28" l="1"/>
  <c r="I36" i="28"/>
  <c r="K36" i="28"/>
  <c r="H33" i="28"/>
  <c r="AQ266" i="30"/>
  <c r="AR266" i="30" s="1"/>
  <c r="AR265" i="30"/>
  <c r="J36" i="28" l="1"/>
  <c r="H32" i="28"/>
  <c r="H34" i="28" l="1"/>
  <c r="H35" i="28" l="1"/>
  <c r="H36" i="28" l="1"/>
</calcChain>
</file>

<file path=xl/sharedStrings.xml><?xml version="1.0" encoding="utf-8"?>
<sst xmlns="http://schemas.openxmlformats.org/spreadsheetml/2006/main" count="1553" uniqueCount="868">
  <si>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</si>
  <si>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</si>
  <si>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</si>
  <si>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</si>
  <si>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</si>
  <si>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</si>
  <si>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</si>
  <si>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</si>
  <si>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</si>
  <si>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</si>
  <si>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</si>
  <si>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</si>
  <si>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</si>
  <si>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</si>
  <si>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</si>
  <si>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</si>
  <si>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</si>
  <si>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</si>
  <si>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</si>
  <si>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</si>
  <si>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</si>
  <si>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</si>
  <si>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</si>
  <si>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</si>
  <si>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</si>
  <si>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</si>
  <si>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</si>
  <si>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</si>
  <si>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</si>
  <si>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</si>
  <si>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</si>
  <si>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</si>
  <si>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</si>
  <si>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</si>
  <si>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</si>
  <si>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</si>
  <si>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</si>
  <si>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</si>
  <si>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</si>
  <si>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</si>
  <si>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</si>
  <si>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</si>
  <si>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</si>
  <si>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</si>
  <si>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</si>
  <si>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</si>
  <si>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</si>
  <si>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</si>
  <si>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</si>
  <si>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</si>
  <si>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</si>
  <si>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</si>
  <si>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</si>
  <si>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</si>
  <si>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</si>
  <si>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</si>
  <si>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</si>
  <si>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</si>
  <si>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</si>
  <si>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</si>
  <si>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</si>
  <si>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</si>
  <si>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</si>
  <si>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</si>
  <si>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</si>
  <si>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</si>
  <si>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</si>
  <si>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</si>
  <si>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</si>
  <si>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</si>
  <si>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</si>
  <si>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</si>
  <si>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</si>
  <si>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</si>
  <si>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</si>
  <si>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</si>
  <si>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</si>
  <si>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</si>
  <si>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</si>
  <si>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</si>
  <si>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</si>
  <si>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</si>
  <si>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</si>
  <si>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</si>
  <si>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</si>
  <si>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</si>
  <si>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</si>
  <si>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</si>
  <si>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</si>
  <si>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</si>
  <si>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</si>
  <si>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</si>
  <si>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</si>
  <si>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</si>
  <si>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</si>
  <si>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</si>
  <si>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</si>
  <si>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</si>
  <si>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</si>
  <si>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</si>
  <si>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</si>
  <si>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</si>
  <si>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</si>
  <si>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</si>
  <si>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</si>
  <si>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</si>
  <si>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</si>
  <si>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</si>
  <si>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</si>
  <si>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</si>
  <si>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</si>
  <si>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</si>
  <si>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</si>
  <si>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</si>
  <si>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</si>
  <si>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</si>
  <si>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</si>
  <si>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</si>
  <si>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</si>
  <si>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</si>
  <si>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</si>
  <si>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</si>
  <si>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</si>
  <si>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</si>
  <si>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</si>
  <si>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</si>
  <si>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</si>
  <si>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</si>
  <si>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</si>
  <si>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</si>
  <si>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</si>
  <si>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</si>
  <si>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</si>
  <si>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</si>
  <si>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</si>
  <si>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</si>
  <si>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</si>
  <si>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</si>
  <si>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</si>
  <si>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</si>
  <si>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</si>
  <si>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</si>
  <si>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</si>
  <si>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</si>
  <si>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</si>
  <si>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</si>
  <si>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</si>
  <si>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</si>
  <si>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</si>
  <si>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</si>
  <si>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</si>
  <si>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</si>
  <si>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</si>
  <si>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</si>
  <si>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</si>
  <si>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</si>
  <si>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</si>
  <si>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</si>
  <si>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</si>
  <si>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</si>
  <si>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</si>
  <si>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</si>
  <si>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</si>
  <si>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</si>
  <si>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</si>
  <si>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</si>
  <si>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</si>
  <si>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</si>
  <si>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</si>
  <si>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</si>
  <si>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</si>
  <si>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</si>
  <si>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</si>
  <si>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</si>
  <si>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</si>
  <si>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</si>
  <si>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</si>
  <si>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</si>
  <si>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</si>
  <si>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</si>
  <si>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</si>
  <si>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</si>
  <si>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</si>
  <si>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</si>
  <si>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</si>
  <si>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</si>
  <si>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</si>
  <si>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</si>
  <si>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</si>
  <si>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</si>
  <si>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</si>
  <si>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</si>
  <si>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</si>
  <si>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</si>
  <si>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</si>
  <si>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</si>
  <si>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</si>
  <si>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</si>
  <si>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</si>
  <si>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</si>
  <si>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</si>
  <si>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</si>
  <si>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</si>
  <si>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</si>
  <si>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</si>
  <si>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</si>
  <si>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</si>
  <si>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</si>
  <si>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</si>
  <si>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</si>
  <si>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</si>
  <si>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</si>
  <si>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</si>
  <si>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</si>
  <si>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</si>
  <si>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</si>
  <si>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</si>
  <si>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</si>
  <si>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</si>
  <si>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</si>
  <si>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</si>
  <si>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</si>
  <si>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</si>
  <si>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</si>
  <si>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</si>
  <si>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</si>
  <si>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</si>
  <si>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</si>
  <si>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</si>
  <si>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</si>
  <si>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</si>
  <si>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</si>
  <si>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</si>
  <si>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</si>
  <si>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</si>
  <si>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</si>
  <si>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</si>
  <si>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</si>
  <si>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</si>
  <si>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</si>
  <si>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</si>
  <si>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</si>
  <si>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</si>
  <si>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</si>
  <si>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</si>
  <si>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</si>
  <si>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</si>
  <si>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</si>
  <si>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</si>
  <si>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</si>
  <si>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</si>
  <si>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</si>
  <si>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</si>
  <si>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</si>
  <si>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</si>
  <si>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</si>
  <si>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</si>
  <si>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</si>
  <si>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</si>
  <si>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</si>
  <si>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</si>
  <si>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</si>
  <si>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</si>
  <si>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</si>
  <si>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</si>
  <si>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</si>
  <si>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</si>
  <si>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</si>
  <si>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</si>
  <si>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</si>
  <si>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</si>
  <si>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</si>
  <si>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</si>
  <si>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</si>
  <si>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</si>
  <si>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</si>
  <si>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</si>
  <si>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</si>
  <si>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</si>
  <si>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</si>
  <si>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</si>
  <si>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</si>
  <si>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</si>
  <si>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</si>
  <si>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</si>
  <si>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</si>
  <si>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</si>
  <si>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</si>
  <si>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</si>
  <si>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</si>
  <si>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</si>
  <si>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</si>
  <si>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</si>
  <si>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</si>
  <si>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</si>
  <si>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</si>
  <si>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</si>
  <si>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</si>
  <si>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</si>
  <si>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</si>
  <si>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</si>
  <si>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</si>
  <si>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</si>
  <si>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</si>
  <si>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</si>
  <si>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</si>
  <si>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</si>
  <si>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</si>
  <si>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</si>
  <si>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</si>
  <si>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</si>
  <si>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</si>
  <si>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</si>
  <si>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</si>
  <si>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</si>
  <si>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</si>
  <si>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</si>
  <si>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</si>
  <si>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</si>
  <si>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</si>
  <si>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</si>
  <si>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</si>
  <si>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</si>
  <si>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</si>
  <si>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</si>
  <si>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</si>
  <si>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</si>
  <si>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</si>
  <si>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</si>
  <si>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</si>
  <si>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</si>
  <si>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</si>
  <si>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</si>
  <si>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</si>
  <si>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</si>
  <si>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</si>
  <si>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</si>
  <si>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</si>
  <si>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</si>
  <si>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</si>
  <si>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</si>
  <si>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</si>
  <si>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</si>
  <si>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</si>
  <si>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</si>
  <si>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</si>
  <si>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</si>
  <si>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</si>
  <si>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</si>
  <si>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</si>
  <si>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</si>
  <si>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</si>
  <si>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</si>
  <si>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</si>
  <si>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</si>
  <si>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</si>
  <si>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</si>
  <si>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</si>
  <si>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</si>
  <si>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</si>
  <si>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</si>
  <si>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</si>
  <si>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</si>
  <si>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</si>
  <si>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</si>
  <si>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</si>
  <si>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</si>
  <si>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</si>
  <si>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</si>
  <si>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</si>
  <si>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</si>
  <si>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</si>
  <si>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</si>
  <si>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</si>
  <si>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</si>
  <si>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</si>
  <si>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</si>
  <si>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</si>
  <si>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</si>
  <si>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</si>
  <si>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</si>
  <si>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</si>
  <si>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</si>
  <si>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</si>
  <si>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</si>
  <si>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</si>
  <si>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</si>
  <si>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</si>
  <si>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</si>
  <si>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</si>
  <si>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</si>
  <si>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</si>
  <si>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</si>
  <si>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</si>
  <si>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</si>
  <si>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</si>
  <si>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</si>
  <si>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</si>
  <si>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</si>
  <si>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</si>
  <si>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</si>
  <si>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</si>
  <si>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</si>
  <si>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</si>
  <si>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</si>
  <si>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</si>
  <si>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</si>
  <si>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</si>
  <si>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</si>
  <si>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</si>
  <si>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</si>
  <si>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</si>
  <si>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</si>
  <si>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</si>
  <si>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</si>
  <si>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</si>
  <si>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</si>
  <si>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</si>
  <si>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</si>
  <si>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</si>
  <si>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</si>
  <si>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</si>
  <si>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</si>
  <si>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</si>
  <si>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</si>
  <si>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</si>
  <si>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</si>
  <si>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</si>
  <si>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</si>
  <si>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</si>
  <si>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</si>
  <si>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</si>
  <si>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</si>
  <si>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</si>
  <si>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</si>
  <si>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</si>
  <si>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</si>
  <si>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</si>
  <si>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</si>
  <si>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</si>
  <si>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</si>
  <si>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</si>
  <si>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</si>
  <si>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</si>
  <si>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</si>
  <si>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</si>
  <si>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</si>
  <si>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</si>
  <si>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</si>
  <si>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</si>
  <si>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</si>
  <si>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</si>
  <si>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</si>
  <si>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</si>
  <si>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</si>
  <si>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</si>
  <si>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</si>
  <si>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</si>
  <si>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</si>
  <si>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</si>
  <si>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</si>
  <si>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</si>
  <si>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</si>
  <si>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</si>
  <si>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</si>
  <si>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</si>
  <si>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</si>
  <si>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</si>
  <si>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</si>
  <si>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</si>
  <si>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</si>
  <si>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</si>
  <si>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</si>
  <si>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</si>
  <si>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</si>
  <si>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</si>
  <si>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</si>
  <si>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</si>
  <si>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</si>
  <si>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</si>
  <si>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</si>
  <si>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</si>
  <si>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</si>
  <si>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</si>
  <si>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</si>
  <si>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</si>
  <si>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</si>
  <si>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</si>
  <si>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</si>
  <si>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</si>
  <si>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</si>
  <si>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</si>
  <si>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</si>
  <si>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</si>
  <si>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</si>
  <si>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</si>
  <si>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</si>
  <si>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</si>
  <si>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</si>
  <si>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</si>
  <si>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</si>
  <si>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</si>
  <si>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</si>
  <si>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</si>
  <si>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</si>
  <si>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</si>
  <si>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</si>
  <si>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</si>
  <si>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</si>
  <si>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</si>
  <si>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</si>
  <si>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</si>
  <si>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</si>
  <si>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</si>
  <si>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</si>
  <si>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</si>
  <si>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</si>
  <si>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</si>
  <si>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</si>
  <si>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</si>
  <si>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</si>
  <si>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</si>
  <si>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</si>
  <si>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</si>
  <si>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</si>
  <si>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</si>
  <si>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</si>
  <si>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</si>
  <si>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</si>
  <si>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</si>
  <si>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</si>
  <si>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</si>
  <si>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</si>
  <si>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</si>
  <si>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</si>
  <si>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</si>
  <si>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</si>
  <si>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</si>
  <si>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</si>
  <si>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</si>
  <si>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</si>
  <si>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</si>
  <si>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</si>
  <si>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</si>
  <si>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</si>
  <si>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</si>
  <si>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</si>
  <si>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</si>
  <si>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</si>
  <si>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</si>
  <si>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</si>
  <si>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</si>
  <si>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</si>
  <si>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</si>
  <si>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</si>
  <si>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</si>
  <si>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</si>
  <si>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</si>
  <si>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</si>
  <si>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</si>
  <si>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</si>
  <si>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</si>
  <si>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</si>
  <si>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</si>
  <si>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</si>
  <si>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</si>
  <si>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</si>
  <si>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</si>
  <si>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</si>
  <si>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</si>
  <si>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</si>
  <si>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</si>
  <si>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</si>
  <si>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</si>
  <si>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</si>
  <si>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</si>
  <si>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</si>
  <si>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</si>
  <si>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</si>
  <si>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</si>
  <si>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</si>
  <si>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</si>
  <si>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</si>
  <si>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</si>
  <si>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</si>
  <si>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</si>
  <si>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</si>
  <si>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</si>
  <si>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</si>
  <si>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</si>
  <si>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</si>
  <si>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</si>
  <si>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</si>
  <si>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</si>
  <si>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</si>
  <si>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</si>
  <si>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</si>
  <si>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</si>
  <si>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</si>
  <si>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</si>
  <si>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</si>
  <si>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</si>
  <si>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</si>
  <si>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</si>
  <si>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</si>
  <si>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</si>
  <si>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</si>
  <si>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</si>
  <si>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</si>
  <si>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</si>
  <si>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</si>
  <si>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</si>
  <si>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</si>
  <si>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</si>
  <si>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</si>
  <si>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</si>
  <si>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</si>
  <si>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</si>
  <si>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</si>
  <si>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</si>
  <si>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</si>
  <si>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</si>
  <si>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</si>
  <si>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</si>
  <si>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</si>
  <si>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</si>
  <si>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</si>
  <si>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</si>
  <si>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</si>
  <si>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</si>
  <si>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</si>
  <si>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</si>
  <si>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</si>
  <si>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</si>
  <si>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</si>
  <si>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</si>
  <si>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</si>
  <si>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</si>
  <si>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</si>
  <si>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</si>
  <si>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</si>
  <si>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</si>
  <si>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</si>
  <si>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</si>
  <si>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</si>
  <si>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</si>
  <si>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</si>
  <si>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</si>
  <si>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</si>
  <si>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</si>
  <si>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</si>
  <si>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</si>
  <si>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</si>
  <si>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</si>
  <si>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</si>
  <si>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</si>
  <si>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</si>
  <si>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</si>
  <si>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</si>
  <si>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</si>
  <si>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</si>
  <si>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</si>
  <si>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</si>
  <si>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</si>
  <si>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</si>
  <si>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</si>
  <si>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</si>
  <si>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</si>
  <si>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</si>
  <si>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</si>
  <si>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</si>
  <si>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</si>
  <si>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</si>
  <si>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</si>
  <si>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</si>
  <si>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</si>
  <si>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</si>
  <si>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</si>
  <si>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</si>
  <si>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</si>
  <si>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</si>
  <si>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</si>
  <si>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</si>
  <si>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</si>
  <si>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</si>
  <si>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</si>
  <si>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</si>
  <si>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</si>
  <si>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</si>
  <si>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</si>
  <si>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</si>
  <si>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</si>
  <si>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</si>
  <si>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</si>
  <si>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</si>
  <si>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</si>
  <si>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</si>
  <si>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</si>
  <si>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</si>
  <si>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</si>
  <si>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</si>
  <si>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</si>
  <si>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</si>
  <si>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</si>
  <si>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</si>
  <si>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</si>
  <si>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</si>
  <si>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</si>
  <si>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</si>
  <si>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</si>
  <si>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</si>
  <si>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</si>
  <si>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</si>
  <si>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</si>
  <si>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</si>
  <si>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</si>
  <si>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</si>
  <si>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</si>
  <si>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</si>
  <si>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</si>
  <si>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</si>
  <si>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</si>
  <si>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</si>
  <si>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</si>
  <si>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</si>
  <si>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</si>
  <si>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</si>
  <si>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</si>
  <si>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</si>
  <si>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</si>
  <si>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</si>
  <si>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</si>
  <si>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</si>
  <si>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</si>
  <si>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</si>
  <si>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</si>
  <si>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</si>
  <si>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</si>
  <si>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</si>
  <si>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</si>
  <si>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</si>
  <si>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</si>
  <si>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</si>
  <si>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</si>
  <si>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</si>
  <si>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</si>
  <si>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</si>
  <si>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</si>
  <si>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</si>
  <si>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</si>
  <si>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</si>
  <si>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</si>
  <si>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</si>
  <si>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</si>
  <si>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</si>
  <si>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</si>
  <si>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</si>
  <si>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</si>
  <si>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</si>
  <si>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</si>
  <si>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</si>
  <si>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</si>
  <si>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</si>
  <si>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</si>
  <si>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</si>
  <si>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</si>
  <si>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</si>
  <si>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</si>
  <si>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</si>
  <si>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</si>
  <si>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</si>
  <si>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</si>
  <si>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</si>
  <si>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</si>
  <si>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</si>
  <si>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</si>
  <si>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</si>
  <si>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</si>
  <si>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</si>
  <si>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</si>
  <si>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</si>
  <si>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</si>
  <si>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</si>
  <si>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</si>
  <si>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</si>
  <si>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</si>
  <si>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</si>
  <si>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</si>
  <si>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</si>
  <si>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</si>
  <si>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</si>
  <si>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</si>
  <si>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</si>
  <si>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</si>
  <si>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</si>
  <si>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</si>
  <si>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</si>
  <si>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</si>
  <si>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</si>
  <si>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</si>
  <si>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</si>
  <si>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</si>
  <si>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</si>
  <si>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</si>
  <si>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</si>
  <si>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</si>
  <si>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</si>
  <si>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</si>
  <si>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</si>
  <si>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</si>
  <si>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</si>
  <si>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</si>
  <si>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</si>
  <si>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</si>
  <si>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</si>
  <si>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</si>
  <si>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</si>
  <si>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</si>
  <si>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</si>
  <si>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</si>
  <si>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</si>
  <si>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</si>
  <si>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</si>
  <si>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</si>
  <si>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</si>
  <si>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</si>
  <si>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</si>
  <si>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</si>
  <si>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</si>
  <si>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</si>
  <si>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</si>
  <si>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</si>
  <si>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</si>
  <si>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</si>
  <si>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</si>
  <si>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</si>
  <si>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</si>
  <si>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</si>
  <si>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</si>
  <si>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</si>
  <si>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</si>
  <si>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</si>
  <si>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</si>
  <si>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</si>
  <si>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</si>
  <si>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</si>
  <si>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</si>
  <si>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</si>
  <si>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</si>
  <si>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</si>
  <si>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</si>
  <si>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</si>
  <si>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</si>
  <si>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</si>
  <si>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</si>
  <si>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</si>
  <si>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</si>
  <si>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</si>
  <si>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</si>
  <si>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</si>
  <si>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</si>
  <si>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</si>
  <si>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Summary 12/31/2021 Operating Expenses</t>
  </si>
  <si>
    <t>Summary of SPP 2021 Usage</t>
  </si>
  <si>
    <t>Year Ended December 31, 2021</t>
  </si>
  <si>
    <t>Detailed Summary of SPP 2021 Usage</t>
  </si>
  <si>
    <t>2022 SPP Transmission Rates</t>
  </si>
  <si>
    <t>Summary of 12/31/2021 Plant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</si>
</sst>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84">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2" fillId="0" borderId="0" xfId="76" applyFont="1" applyFill="1" applyBorder="1"/>
    <xf numFmtId="43" fontId="12" fillId="0" borderId="0" xfId="76" applyFont="1" applyFill="1" applyBorder="1"/>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43" fontId="0" fillId="0" borderId="0" xfId="0" applyNumberFormat="1" applyFill="1"/>
    <xf numFmtId="0" fontId="0" fillId="0" borderId="0" xfId="0" applyFill="1" applyAlignment="1">
      <alignment horizontal="center"/>
    </xf>
    <xf numFmtId="164" fontId="12" fillId="0" borderId="0" xfId="2" applyNumberFormat="1" applyFont="1" applyFill="1"/>
    <xf numFmtId="0" fontId="0" fillId="0" borderId="0" xfId="0" applyAlignment="1">
      <alignment horizontal="center"/>
    </xf>
    <xf numFmtId="164" fontId="12" fillId="0" borderId="1" xfId="2" applyNumberFormat="1" applyFont="1" applyFill="1" applyBorder="1"/>
    <xf numFmtId="164" fontId="0" fillId="0" borderId="0" xfId="0" applyNumberFormat="1"/>
    <xf numFmtId="164" fontId="12" fillId="0" borderId="0" xfId="2" applyNumberFormat="1" applyFont="1"/>
    <xf numFmtId="164" fontId="12" fillId="0" borderId="1" xfId="2" applyNumberFormat="1" applyFont="1" applyBorder="1"/>
    <xf numFmtId="0" fontId="0" fillId="0" borderId="0" xfId="0" applyFill="1" applyAlignment="1"/>
    <xf numFmtId="164" fontId="12" fillId="0" borderId="0" xfId="2" applyNumberFormat="1" applyFont="1" applyFill="1"/>
    <xf numFmtId="43" fontId="12" fillId="0" borderId="0" xfId="2" applyNumberFormat="1" applyFont="1"/>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workbookViewId="0">
      <selection activeCell="E15" sqref="E15"/>
    </sheetView>
  </sheetViews>
  <sheetFormatPr defaultRowHeight="15" x14ac:dyDescent="0.25"/>
  <cols>
    <col min="1" max="1" width="3" customWidth="1"/>
    <col min="2" max="2" width="27.85546875" customWidth="1"/>
  </cols>
  <sheetData>
    <row r="6" spans="2:2" ht="36" x14ac:dyDescent="0.55000000000000004">
      <c r="B6" s="5" t="s">
        <v>135</v>
      </c>
    </row>
    <row r="11" spans="2:2" ht="23.25" x14ac:dyDescent="0.35">
      <c r="B11" s="4"/>
    </row>
    <row r="12" spans="2:2" ht="23.25" x14ac:dyDescent="0.35">
      <c r="B12" s="4"/>
    </row>
    <row r="13" spans="2:2" ht="23.25" x14ac:dyDescent="0.35">
      <c r="B13" s="4" t="s">
        <v>866</v>
      </c>
    </row>
    <row r="19" spans="2:2" ht="18.75" x14ac:dyDescent="0.3">
      <c r="B19" s="6">
        <v>44713</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F35" sqref="F35"/>
    </sheetView>
  </sheetViews>
  <sheetFormatPr defaultColWidth="9.140625" defaultRowHeight="15" x14ac:dyDescent="0.25"/>
  <cols>
    <col min="1" max="1" width="4.42578125" style="21" customWidth="1"/>
    <col min="2" max="3" width="15.7109375" style="21" customWidth="1"/>
    <col min="4" max="4" width="18.140625" style="21" bestFit="1" customWidth="1"/>
    <col min="5" max="5" width="9.140625" style="21" customWidth="1"/>
    <col min="6" max="16384" width="9.140625" style="21"/>
  </cols>
  <sheetData>
    <row r="1" spans="1:5" x14ac:dyDescent="0.25">
      <c r="B1" s="139" t="s">
        <v>27</v>
      </c>
      <c r="C1" s="139"/>
      <c r="D1" s="139" t="s">
        <v>837</v>
      </c>
      <c r="E1" s="139"/>
    </row>
    <row r="2" spans="1:5" x14ac:dyDescent="0.25">
      <c r="B2" s="139" t="s">
        <v>838</v>
      </c>
      <c r="C2" s="139"/>
      <c r="D2" s="139" t="s">
        <v>837</v>
      </c>
      <c r="E2" s="139"/>
    </row>
    <row r="4" spans="1:5" x14ac:dyDescent="0.25">
      <c r="B4" s="14" t="s">
        <v>839</v>
      </c>
      <c r="C4" s="140"/>
      <c r="D4" s="140"/>
      <c r="E4" s="140"/>
    </row>
    <row r="5" spans="1:5" x14ac:dyDescent="0.25">
      <c r="B5" s="14"/>
      <c r="C5" s="140"/>
      <c r="D5" s="140"/>
      <c r="E5" s="140"/>
    </row>
    <row r="6" spans="1:5" x14ac:dyDescent="0.25">
      <c r="B6" s="141" t="s">
        <v>840</v>
      </c>
      <c r="C6" s="142" t="s">
        <v>158</v>
      </c>
      <c r="D6" s="138"/>
      <c r="E6" s="34" t="s">
        <v>825</v>
      </c>
    </row>
    <row r="7" spans="1:5" x14ac:dyDescent="0.25">
      <c r="A7" s="21">
        <v>1</v>
      </c>
      <c r="B7" s="143">
        <v>350</v>
      </c>
      <c r="C7" s="144">
        <v>2.75</v>
      </c>
      <c r="D7" s="145"/>
      <c r="E7" s="140"/>
    </row>
    <row r="8" spans="1:5" x14ac:dyDescent="0.25">
      <c r="A8" s="21">
        <f>+A7+1</f>
        <v>2</v>
      </c>
      <c r="B8" s="143">
        <v>353</v>
      </c>
      <c r="C8" s="144">
        <v>2.75</v>
      </c>
      <c r="D8" s="145"/>
      <c r="E8" s="140"/>
    </row>
    <row r="9" spans="1:5" x14ac:dyDescent="0.25">
      <c r="A9" s="21">
        <f t="shared" ref="A9:A16" si="0">+A8+1</f>
        <v>3</v>
      </c>
      <c r="B9" s="143">
        <v>355</v>
      </c>
      <c r="C9" s="144">
        <v>2.75</v>
      </c>
      <c r="D9" s="145"/>
      <c r="E9" s="146"/>
    </row>
    <row r="10" spans="1:5" x14ac:dyDescent="0.25">
      <c r="A10" s="21">
        <f t="shared" si="0"/>
        <v>4</v>
      </c>
      <c r="B10" s="143">
        <v>356</v>
      </c>
      <c r="C10" s="144">
        <v>2.75</v>
      </c>
      <c r="D10" s="145"/>
      <c r="E10" s="140"/>
    </row>
    <row r="11" spans="1:5" x14ac:dyDescent="0.25">
      <c r="A11" s="21">
        <f t="shared" si="0"/>
        <v>5</v>
      </c>
      <c r="B11" s="143">
        <v>390</v>
      </c>
      <c r="C11" s="144">
        <v>6.67</v>
      </c>
      <c r="D11" s="145"/>
      <c r="E11" s="140"/>
    </row>
    <row r="12" spans="1:5" x14ac:dyDescent="0.25">
      <c r="A12" s="21">
        <f t="shared" si="0"/>
        <v>6</v>
      </c>
      <c r="B12" s="143">
        <v>391</v>
      </c>
      <c r="C12" s="144">
        <v>20</v>
      </c>
      <c r="D12" s="145"/>
      <c r="E12" s="146"/>
    </row>
    <row r="13" spans="1:5" x14ac:dyDescent="0.25">
      <c r="A13" s="21">
        <f t="shared" si="0"/>
        <v>7</v>
      </c>
      <c r="B13" s="143">
        <v>392</v>
      </c>
      <c r="C13" s="144">
        <v>20</v>
      </c>
      <c r="D13" s="145"/>
      <c r="E13" s="140"/>
    </row>
    <row r="14" spans="1:5" x14ac:dyDescent="0.25">
      <c r="A14" s="21">
        <f t="shared" si="0"/>
        <v>8</v>
      </c>
      <c r="B14" s="143">
        <v>397</v>
      </c>
      <c r="C14" s="144">
        <v>20</v>
      </c>
      <c r="D14" s="145"/>
      <c r="E14" s="140"/>
    </row>
    <row r="15" spans="1:5" x14ac:dyDescent="0.25">
      <c r="A15" s="21">
        <f t="shared" si="0"/>
        <v>9</v>
      </c>
      <c r="B15" s="143">
        <v>399</v>
      </c>
      <c r="C15" s="144">
        <v>10</v>
      </c>
      <c r="D15" s="145"/>
      <c r="E15" s="146"/>
    </row>
    <row r="16" spans="1:5" x14ac:dyDescent="0.25">
      <c r="A16" s="21">
        <f t="shared" si="0"/>
        <v>10</v>
      </c>
      <c r="B16" s="143">
        <v>101</v>
      </c>
      <c r="C16" s="144">
        <v>6.67</v>
      </c>
      <c r="D16" s="145"/>
      <c r="E16" s="140"/>
    </row>
    <row r="17" spans="2:5" x14ac:dyDescent="0.25">
      <c r="B17" s="140"/>
      <c r="C17" s="145"/>
      <c r="D17" s="145"/>
      <c r="E17" s="140"/>
    </row>
    <row r="18" spans="2:5" x14ac:dyDescent="0.25">
      <c r="B18" s="140"/>
      <c r="C18" s="145"/>
      <c r="D18" s="145"/>
      <c r="E18" s="140"/>
    </row>
    <row r="19" spans="2:5" x14ac:dyDescent="0.25">
      <c r="B19" s="140"/>
      <c r="C19" s="145"/>
      <c r="D19" s="145"/>
      <c r="E19" s="140"/>
    </row>
    <row r="20" spans="2:5" x14ac:dyDescent="0.25">
      <c r="B20" s="140"/>
      <c r="C20" s="145"/>
      <c r="D20" s="145"/>
      <c r="E20" s="140"/>
    </row>
    <row r="21" spans="2:5" x14ac:dyDescent="0.25">
      <c r="B21" s="140"/>
      <c r="C21" s="145"/>
      <c r="D21" s="145"/>
      <c r="E21" s="140"/>
    </row>
    <row r="22" spans="2:5" x14ac:dyDescent="0.25">
      <c r="B22" s="140"/>
      <c r="C22" s="145"/>
      <c r="D22" s="145"/>
      <c r="E22" s="140"/>
    </row>
    <row r="23" spans="2:5" x14ac:dyDescent="0.25">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9"/>
  <sheetViews>
    <sheetView workbookViewId="0">
      <selection activeCell="K26" sqref="K26"/>
    </sheetView>
  </sheetViews>
  <sheetFormatPr defaultColWidth="9.140625" defaultRowHeight="15" x14ac:dyDescent="0.25"/>
  <cols>
    <col min="1" max="1" width="5.85546875" style="21" customWidth="1"/>
    <col min="2" max="2" width="22.7109375" style="21" customWidth="1"/>
    <col min="3" max="3" width="5.7109375" style="21" customWidth="1"/>
    <col min="4" max="4" width="7.85546875" style="21" bestFit="1" customWidth="1"/>
    <col min="5" max="5" width="8.140625" style="21" bestFit="1" customWidth="1"/>
    <col min="6" max="18" width="13.28515625" style="21" customWidth="1"/>
    <col min="19" max="19" width="9.140625" style="21"/>
    <col min="20" max="20" width="11.28515625" style="21" bestFit="1" customWidth="1"/>
    <col min="21" max="21" width="9.140625" style="21"/>
    <col min="22" max="22" width="10.28515625" style="21" bestFit="1" customWidth="1"/>
    <col min="23" max="16384" width="9.140625" style="21"/>
  </cols>
  <sheetData>
    <row r="1" spans="1:22" x14ac:dyDescent="0.25">
      <c r="B1" s="175" t="s">
        <v>27</v>
      </c>
      <c r="C1" s="175"/>
      <c r="D1" s="175"/>
      <c r="E1" s="175"/>
      <c r="F1" s="175"/>
      <c r="G1" s="175"/>
      <c r="H1" s="175"/>
      <c r="I1" s="175"/>
      <c r="J1" s="175"/>
      <c r="K1" s="175"/>
      <c r="L1" s="175"/>
      <c r="M1" s="175"/>
      <c r="N1" s="175"/>
      <c r="O1" s="175"/>
      <c r="P1" s="175"/>
      <c r="Q1" s="175"/>
      <c r="R1" s="175"/>
    </row>
    <row r="2" spans="1:22" x14ac:dyDescent="0.25">
      <c r="B2" s="175" t="s">
        <v>865</v>
      </c>
      <c r="C2" s="175"/>
      <c r="D2" s="175"/>
      <c r="E2" s="175"/>
      <c r="F2" s="175"/>
      <c r="G2" s="175"/>
      <c r="H2" s="175"/>
      <c r="I2" s="175"/>
      <c r="J2" s="175"/>
      <c r="K2" s="175"/>
      <c r="L2" s="175"/>
      <c r="M2" s="175"/>
      <c r="N2" s="175"/>
      <c r="O2" s="175"/>
      <c r="P2" s="175"/>
      <c r="Q2" s="175"/>
      <c r="R2" s="175"/>
    </row>
    <row r="4" spans="1:22" x14ac:dyDescent="0.25">
      <c r="B4" s="14" t="s">
        <v>240</v>
      </c>
    </row>
    <row r="5" spans="1:22" x14ac:dyDescent="0.25">
      <c r="D5" s="153" t="s">
        <v>239</v>
      </c>
      <c r="E5" s="153" t="s">
        <v>128</v>
      </c>
    </row>
    <row r="6" spans="1:22" x14ac:dyDescent="0.25">
      <c r="D6" s="153" t="s">
        <v>110</v>
      </c>
      <c r="E6" s="153" t="s">
        <v>33</v>
      </c>
      <c r="F6" s="153" t="s">
        <v>4</v>
      </c>
      <c r="G6" s="153" t="s">
        <v>5</v>
      </c>
      <c r="H6" s="153" t="s">
        <v>6</v>
      </c>
      <c r="I6" s="153" t="s">
        <v>7</v>
      </c>
      <c r="J6" s="153" t="s">
        <v>8</v>
      </c>
      <c r="K6" s="153" t="s">
        <v>9</v>
      </c>
      <c r="L6" s="153" t="s">
        <v>10</v>
      </c>
      <c r="M6" s="153" t="s">
        <v>11</v>
      </c>
      <c r="N6" s="153" t="s">
        <v>12</v>
      </c>
      <c r="O6" s="153" t="s">
        <v>13</v>
      </c>
      <c r="P6" s="153" t="s">
        <v>14</v>
      </c>
      <c r="Q6" s="153" t="s">
        <v>15</v>
      </c>
      <c r="R6" s="153" t="s">
        <v>0</v>
      </c>
      <c r="T6" s="34"/>
    </row>
    <row r="7" spans="1:22" x14ac:dyDescent="0.25">
      <c r="D7" s="154" t="s">
        <v>97</v>
      </c>
      <c r="E7" s="154" t="s">
        <v>97</v>
      </c>
      <c r="F7" s="154" t="s">
        <v>109</v>
      </c>
      <c r="G7" s="154" t="s">
        <v>109</v>
      </c>
      <c r="H7" s="154" t="s">
        <v>109</v>
      </c>
      <c r="I7" s="154" t="s">
        <v>109</v>
      </c>
      <c r="J7" s="154" t="s">
        <v>109</v>
      </c>
      <c r="K7" s="154" t="s">
        <v>109</v>
      </c>
      <c r="L7" s="154" t="s">
        <v>109</v>
      </c>
      <c r="M7" s="154" t="s">
        <v>109</v>
      </c>
      <c r="N7" s="154" t="s">
        <v>109</v>
      </c>
      <c r="O7" s="154" t="s">
        <v>109</v>
      </c>
      <c r="P7" s="154" t="s">
        <v>109</v>
      </c>
      <c r="Q7" s="154" t="s">
        <v>109</v>
      </c>
      <c r="R7" s="154" t="s">
        <v>109</v>
      </c>
      <c r="T7" s="34" t="s">
        <v>841</v>
      </c>
    </row>
    <row r="8" spans="1:22" x14ac:dyDescent="0.25">
      <c r="A8" s="153">
        <v>1</v>
      </c>
      <c r="B8" s="16" t="s">
        <v>133</v>
      </c>
      <c r="C8" s="153"/>
      <c r="F8" s="1"/>
      <c r="G8" s="1"/>
      <c r="H8" s="1"/>
      <c r="I8" s="1"/>
      <c r="J8" s="1"/>
      <c r="K8" s="1"/>
      <c r="L8" s="1"/>
      <c r="M8" s="1"/>
      <c r="N8" s="1"/>
      <c r="O8" s="1"/>
      <c r="P8" s="1"/>
      <c r="Q8" s="1"/>
      <c r="R8" s="1"/>
    </row>
    <row r="9" spans="1:22" x14ac:dyDescent="0.25">
      <c r="A9" s="153">
        <f>+A8+1</f>
        <v>2</v>
      </c>
      <c r="B9" s="21" t="s">
        <v>107</v>
      </c>
      <c r="C9" s="153" t="s">
        <v>3</v>
      </c>
      <c r="D9" s="153">
        <v>1</v>
      </c>
      <c r="E9" s="153" t="s">
        <v>129</v>
      </c>
      <c r="F9" s="169">
        <v>6066.4</v>
      </c>
      <c r="G9" s="169">
        <v>7161.3</v>
      </c>
      <c r="H9" s="169">
        <v>4902.3999999999996</v>
      </c>
      <c r="I9" s="169">
        <v>3932.2</v>
      </c>
      <c r="J9" s="169">
        <v>3791.5</v>
      </c>
      <c r="K9" s="169">
        <v>4973.6000000000004</v>
      </c>
      <c r="L9" s="169">
        <v>5479.1</v>
      </c>
      <c r="M9" s="169">
        <v>5430.9</v>
      </c>
      <c r="N9" s="169">
        <v>5800.6</v>
      </c>
      <c r="O9" s="169">
        <v>4367</v>
      </c>
      <c r="P9" s="169">
        <v>4644.7</v>
      </c>
      <c r="Q9" s="169">
        <v>5306.3</v>
      </c>
      <c r="R9" s="1">
        <f t="shared" ref="R9:R14" si="0">SUM(F9:Q9)</f>
        <v>61856</v>
      </c>
      <c r="T9" s="1"/>
      <c r="V9" s="22"/>
    </row>
    <row r="10" spans="1:22" x14ac:dyDescent="0.25">
      <c r="A10" s="153">
        <f t="shared" ref="A10:A64" si="1">+A9+1</f>
        <v>3</v>
      </c>
      <c r="B10" s="21" t="s">
        <v>108</v>
      </c>
      <c r="C10" s="153" t="s">
        <v>3</v>
      </c>
      <c r="D10" s="153">
        <v>1</v>
      </c>
      <c r="E10" s="153" t="s">
        <v>129</v>
      </c>
      <c r="F10" s="169">
        <v>5018.6000000000004</v>
      </c>
      <c r="G10" s="169">
        <v>5198.3</v>
      </c>
      <c r="H10" s="169">
        <v>5104.8</v>
      </c>
      <c r="I10" s="169">
        <v>3847.2</v>
      </c>
      <c r="J10" s="169">
        <v>3929.2</v>
      </c>
      <c r="K10" s="169">
        <v>4473.1000000000004</v>
      </c>
      <c r="L10" s="169">
        <v>5332</v>
      </c>
      <c r="M10" s="169">
        <v>5077.1000000000004</v>
      </c>
      <c r="N10" s="169">
        <v>5631.4</v>
      </c>
      <c r="O10" s="169">
        <v>4216.8999999999996</v>
      </c>
      <c r="P10" s="169">
        <v>4613.8999999999996</v>
      </c>
      <c r="Q10" s="169">
        <v>5379</v>
      </c>
      <c r="R10" s="1">
        <f t="shared" si="0"/>
        <v>57821.500000000007</v>
      </c>
      <c r="T10" s="1"/>
      <c r="V10" s="22"/>
    </row>
    <row r="11" spans="1:22" x14ac:dyDescent="0.25">
      <c r="A11" s="153">
        <f t="shared" si="1"/>
        <v>4</v>
      </c>
      <c r="B11" s="21" t="s">
        <v>781</v>
      </c>
      <c r="C11" s="153" t="s">
        <v>3</v>
      </c>
      <c r="D11" s="153"/>
      <c r="E11" s="153"/>
      <c r="F11" s="20"/>
      <c r="G11" s="20"/>
      <c r="H11" s="20"/>
      <c r="I11" s="20"/>
      <c r="J11" s="20"/>
      <c r="K11" s="20"/>
      <c r="L11" s="20"/>
      <c r="M11" s="20"/>
      <c r="N11" s="20"/>
      <c r="O11" s="20"/>
      <c r="P11" s="20"/>
      <c r="Q11" s="20"/>
      <c r="R11" s="1">
        <f t="shared" si="0"/>
        <v>0</v>
      </c>
      <c r="T11" s="1"/>
      <c r="V11" s="22"/>
    </row>
    <row r="12" spans="1:22" x14ac:dyDescent="0.25">
      <c r="A12" s="153">
        <f t="shared" si="1"/>
        <v>5</v>
      </c>
      <c r="B12" s="21" t="s">
        <v>0</v>
      </c>
      <c r="C12" s="153" t="s">
        <v>3</v>
      </c>
      <c r="D12" s="153"/>
      <c r="E12" s="153"/>
      <c r="F12" s="8">
        <f t="shared" ref="F12:Q12" si="2">SUM(F9:F11)</f>
        <v>11085</v>
      </c>
      <c r="G12" s="8">
        <f t="shared" si="2"/>
        <v>12359.6</v>
      </c>
      <c r="H12" s="8">
        <f t="shared" si="2"/>
        <v>10007.200000000001</v>
      </c>
      <c r="I12" s="8">
        <f t="shared" si="2"/>
        <v>7779.4</v>
      </c>
      <c r="J12" s="8">
        <f t="shared" si="2"/>
        <v>7720.7</v>
      </c>
      <c r="K12" s="8">
        <f t="shared" si="2"/>
        <v>9446.7000000000007</v>
      </c>
      <c r="L12" s="8">
        <f t="shared" si="2"/>
        <v>10811.1</v>
      </c>
      <c r="M12" s="8">
        <f t="shared" si="2"/>
        <v>10508</v>
      </c>
      <c r="N12" s="8">
        <f t="shared" si="2"/>
        <v>11432</v>
      </c>
      <c r="O12" s="8">
        <f t="shared" si="2"/>
        <v>8583.9</v>
      </c>
      <c r="P12" s="8">
        <f t="shared" si="2"/>
        <v>9258.5999999999985</v>
      </c>
      <c r="Q12" s="8">
        <f t="shared" si="2"/>
        <v>10685.3</v>
      </c>
      <c r="R12" s="1">
        <f t="shared" si="0"/>
        <v>119677.50000000001</v>
      </c>
      <c r="T12" s="1"/>
      <c r="V12" s="13"/>
    </row>
    <row r="13" spans="1:22" x14ac:dyDescent="0.25">
      <c r="A13" s="153">
        <f t="shared" si="1"/>
        <v>6</v>
      </c>
      <c r="B13" s="21" t="s">
        <v>751</v>
      </c>
      <c r="C13" s="153"/>
      <c r="D13" s="153"/>
      <c r="E13" s="153"/>
      <c r="F13" s="1"/>
      <c r="G13" s="1"/>
      <c r="H13" s="1"/>
      <c r="I13" s="1"/>
      <c r="J13" s="1"/>
      <c r="K13" s="1"/>
      <c r="L13" s="1"/>
      <c r="M13" s="1"/>
      <c r="N13" s="1"/>
      <c r="O13" s="1"/>
      <c r="P13" s="1"/>
      <c r="Q13" s="1"/>
      <c r="R13" s="1">
        <f t="shared" si="0"/>
        <v>0</v>
      </c>
    </row>
    <row r="14" spans="1:22" x14ac:dyDescent="0.25">
      <c r="A14" s="153">
        <f t="shared" si="1"/>
        <v>7</v>
      </c>
      <c r="B14" s="21" t="s">
        <v>131</v>
      </c>
      <c r="C14" s="153"/>
      <c r="D14" s="153"/>
      <c r="E14" s="153"/>
      <c r="F14" s="1">
        <f>SUM(F12:F13)</f>
        <v>11085</v>
      </c>
      <c r="G14" s="1">
        <f t="shared" ref="G14:Q14" si="3">SUM(G12:G13)</f>
        <v>12359.6</v>
      </c>
      <c r="H14" s="1">
        <f t="shared" si="3"/>
        <v>10007.200000000001</v>
      </c>
      <c r="I14" s="1">
        <f t="shared" si="3"/>
        <v>7779.4</v>
      </c>
      <c r="J14" s="1">
        <f t="shared" si="3"/>
        <v>7720.7</v>
      </c>
      <c r="K14" s="1">
        <f t="shared" si="3"/>
        <v>9446.7000000000007</v>
      </c>
      <c r="L14" s="1">
        <f t="shared" si="3"/>
        <v>10811.1</v>
      </c>
      <c r="M14" s="1">
        <f t="shared" si="3"/>
        <v>10508</v>
      </c>
      <c r="N14" s="1">
        <f t="shared" si="3"/>
        <v>11432</v>
      </c>
      <c r="O14" s="1">
        <f t="shared" si="3"/>
        <v>8583.9</v>
      </c>
      <c r="P14" s="1">
        <f t="shared" si="3"/>
        <v>9258.5999999999985</v>
      </c>
      <c r="Q14" s="1">
        <f t="shared" si="3"/>
        <v>10685.3</v>
      </c>
      <c r="R14" s="1">
        <f t="shared" si="0"/>
        <v>119677.50000000001</v>
      </c>
    </row>
    <row r="15" spans="1:22" x14ac:dyDescent="0.25">
      <c r="A15" s="153">
        <f t="shared" si="1"/>
        <v>8</v>
      </c>
      <c r="C15" s="153"/>
      <c r="D15" s="153"/>
      <c r="E15" s="153"/>
      <c r="F15" s="1"/>
      <c r="G15" s="1"/>
      <c r="H15" s="1"/>
      <c r="I15" s="1"/>
      <c r="J15" s="1"/>
      <c r="K15" s="1"/>
      <c r="L15" s="1"/>
      <c r="M15" s="1"/>
      <c r="N15" s="1"/>
      <c r="O15" s="1"/>
      <c r="P15" s="1"/>
      <c r="Q15" s="1"/>
      <c r="R15" s="1"/>
    </row>
    <row r="16" spans="1:22" x14ac:dyDescent="0.25">
      <c r="A16" s="153">
        <f t="shared" si="1"/>
        <v>9</v>
      </c>
      <c r="B16" s="21" t="s">
        <v>132</v>
      </c>
      <c r="C16" s="153"/>
      <c r="D16" s="153"/>
      <c r="E16" s="153"/>
      <c r="F16" s="1"/>
      <c r="G16" s="1"/>
      <c r="H16" s="1"/>
      <c r="I16" s="1"/>
      <c r="J16" s="1"/>
      <c r="K16" s="1"/>
      <c r="L16" s="20"/>
      <c r="M16" s="20"/>
      <c r="N16" s="20"/>
      <c r="O16" s="20"/>
      <c r="P16" s="20"/>
      <c r="Q16" s="20"/>
      <c r="R16" s="1"/>
    </row>
    <row r="17" spans="1:22" x14ac:dyDescent="0.25">
      <c r="A17" s="153">
        <f t="shared" si="1"/>
        <v>10</v>
      </c>
      <c r="D17" s="154"/>
      <c r="F17" s="20"/>
      <c r="G17" s="20"/>
      <c r="H17" s="20"/>
      <c r="I17" s="20"/>
      <c r="J17" s="20"/>
      <c r="K17" s="20"/>
      <c r="L17" s="20"/>
      <c r="M17" s="20"/>
      <c r="N17" s="20"/>
      <c r="O17" s="20"/>
      <c r="P17" s="20"/>
      <c r="Q17" s="20"/>
      <c r="R17" s="154"/>
    </row>
    <row r="18" spans="1:22" x14ac:dyDescent="0.25">
      <c r="A18" s="153">
        <f t="shared" si="1"/>
        <v>11</v>
      </c>
      <c r="B18" s="16" t="s">
        <v>134</v>
      </c>
      <c r="D18" s="154"/>
      <c r="F18" s="154"/>
      <c r="G18" s="154"/>
      <c r="H18" s="154"/>
      <c r="I18" s="154"/>
      <c r="J18" s="154"/>
      <c r="K18" s="154"/>
      <c r="L18" s="154"/>
      <c r="M18" s="154"/>
      <c r="N18" s="154"/>
      <c r="O18" s="154"/>
      <c r="P18" s="154"/>
      <c r="Q18" s="154"/>
      <c r="R18" s="154"/>
    </row>
    <row r="19" spans="1:22" x14ac:dyDescent="0.25">
      <c r="A19" s="153">
        <f t="shared" si="1"/>
        <v>12</v>
      </c>
      <c r="B19" s="24" t="s">
        <v>102</v>
      </c>
      <c r="C19" s="153" t="s">
        <v>3</v>
      </c>
      <c r="D19" s="153">
        <v>1</v>
      </c>
      <c r="E19" s="153" t="s">
        <v>129</v>
      </c>
      <c r="F19" s="20">
        <v>5922</v>
      </c>
      <c r="G19" s="20">
        <v>5348</v>
      </c>
      <c r="H19" s="20">
        <v>4554</v>
      </c>
      <c r="I19" s="20">
        <v>5488</v>
      </c>
      <c r="J19" s="20">
        <v>5526</v>
      </c>
      <c r="K19" s="20">
        <v>5596</v>
      </c>
      <c r="L19" s="20">
        <v>5884</v>
      </c>
      <c r="M19" s="20">
        <v>6078</v>
      </c>
      <c r="N19" s="20">
        <v>5900</v>
      </c>
      <c r="O19" s="20">
        <v>5272</v>
      </c>
      <c r="P19" s="20">
        <v>3360</v>
      </c>
      <c r="Q19" s="20">
        <v>3668</v>
      </c>
      <c r="R19" s="1">
        <f t="shared" ref="R19:R28" si="4">SUM(F19:Q19)</f>
        <v>62596</v>
      </c>
      <c r="T19" s="1"/>
      <c r="V19" s="22"/>
    </row>
    <row r="20" spans="1:22" x14ac:dyDescent="0.25">
      <c r="A20" s="153">
        <f t="shared" si="1"/>
        <v>13</v>
      </c>
      <c r="B20" s="24" t="s">
        <v>741</v>
      </c>
      <c r="C20" s="153" t="s">
        <v>3</v>
      </c>
      <c r="D20" s="153">
        <v>1</v>
      </c>
      <c r="E20" s="153" t="s">
        <v>129</v>
      </c>
      <c r="F20" s="20">
        <v>11778.7</v>
      </c>
      <c r="G20" s="20">
        <v>11161</v>
      </c>
      <c r="H20" s="20">
        <v>12227.9</v>
      </c>
      <c r="I20" s="20">
        <v>10566.5</v>
      </c>
      <c r="J20" s="20">
        <v>10461.5</v>
      </c>
      <c r="K20" s="20">
        <v>10708.7</v>
      </c>
      <c r="L20" s="20">
        <v>9605.7000000000007</v>
      </c>
      <c r="M20" s="20">
        <v>10220.4</v>
      </c>
      <c r="N20" s="20">
        <v>10780.7</v>
      </c>
      <c r="O20" s="20">
        <v>10813.4</v>
      </c>
      <c r="P20" s="20">
        <v>10565.9</v>
      </c>
      <c r="Q20" s="20">
        <v>10829.4</v>
      </c>
      <c r="R20" s="1">
        <f t="shared" si="4"/>
        <v>129719.79999999997</v>
      </c>
    </row>
    <row r="21" spans="1:22" x14ac:dyDescent="0.25">
      <c r="A21" s="153">
        <f t="shared" si="1"/>
        <v>14</v>
      </c>
      <c r="B21" s="24" t="s">
        <v>742</v>
      </c>
      <c r="C21" s="153" t="s">
        <v>3</v>
      </c>
      <c r="D21" s="153">
        <v>1</v>
      </c>
      <c r="E21" s="153" t="s">
        <v>130</v>
      </c>
      <c r="F21" s="20">
        <v>846.5</v>
      </c>
      <c r="G21" s="20">
        <v>1086.0999999999999</v>
      </c>
      <c r="H21" s="20">
        <v>894.6</v>
      </c>
      <c r="I21" s="20">
        <v>557.20000000000005</v>
      </c>
      <c r="J21" s="20">
        <v>719.1</v>
      </c>
      <c r="K21" s="20">
        <v>1403.6</v>
      </c>
      <c r="L21" s="20">
        <v>1300.9000000000001</v>
      </c>
      <c r="M21" s="20">
        <v>1512.7</v>
      </c>
      <c r="N21" s="20">
        <v>1301.3</v>
      </c>
      <c r="O21" s="20">
        <v>569.1</v>
      </c>
      <c r="P21" s="20">
        <v>580.70000000000005</v>
      </c>
      <c r="Q21" s="20">
        <v>516.1</v>
      </c>
      <c r="R21" s="1">
        <f t="shared" si="4"/>
        <v>11287.900000000001</v>
      </c>
    </row>
    <row r="22" spans="1:22" x14ac:dyDescent="0.25">
      <c r="A22" s="153">
        <f t="shared" si="1"/>
        <v>15</v>
      </c>
      <c r="B22" s="21" t="s">
        <v>103</v>
      </c>
      <c r="C22" s="153" t="s">
        <v>3</v>
      </c>
      <c r="D22" s="153">
        <v>1</v>
      </c>
      <c r="E22" s="153" t="s">
        <v>130</v>
      </c>
      <c r="F22" s="20">
        <v>1844.6</v>
      </c>
      <c r="G22" s="20">
        <v>1952.6</v>
      </c>
      <c r="H22" s="20">
        <v>1529.3</v>
      </c>
      <c r="I22" s="20">
        <v>3024</v>
      </c>
      <c r="J22" s="20">
        <v>3326.4</v>
      </c>
      <c r="K22" s="20">
        <v>2656.8</v>
      </c>
      <c r="L22" s="20">
        <v>3754.1</v>
      </c>
      <c r="M22" s="20">
        <v>4034.9</v>
      </c>
      <c r="N22" s="20">
        <v>3542.4</v>
      </c>
      <c r="O22" s="20">
        <v>2276.6</v>
      </c>
      <c r="P22" s="20">
        <v>2756.2</v>
      </c>
      <c r="Q22" s="20">
        <v>2613.6</v>
      </c>
      <c r="R22" s="1">
        <f t="shared" si="4"/>
        <v>33311.5</v>
      </c>
    </row>
    <row r="23" spans="1:22" x14ac:dyDescent="0.25">
      <c r="A23" s="153">
        <f t="shared" si="1"/>
        <v>16</v>
      </c>
      <c r="B23" s="21" t="s">
        <v>104</v>
      </c>
      <c r="C23" s="153" t="s">
        <v>3</v>
      </c>
      <c r="D23" s="153">
        <v>1</v>
      </c>
      <c r="E23" s="153" t="s">
        <v>130</v>
      </c>
      <c r="F23" s="20">
        <v>1206.9000000000001</v>
      </c>
      <c r="G23" s="20">
        <v>1366</v>
      </c>
      <c r="H23" s="20">
        <v>1104.7</v>
      </c>
      <c r="I23" s="20">
        <v>2375.3000000000002</v>
      </c>
      <c r="J23" s="20">
        <v>2945</v>
      </c>
      <c r="K23" s="20">
        <v>4481.6000000000004</v>
      </c>
      <c r="L23" s="20">
        <v>6189.7</v>
      </c>
      <c r="M23" s="20">
        <v>5820.5</v>
      </c>
      <c r="N23" s="20">
        <v>5256.6</v>
      </c>
      <c r="O23" s="20">
        <v>1465.3</v>
      </c>
      <c r="P23" s="20">
        <v>1246.4000000000001</v>
      </c>
      <c r="Q23" s="20">
        <v>1218.5</v>
      </c>
      <c r="R23" s="1">
        <f t="shared" si="4"/>
        <v>34676.5</v>
      </c>
    </row>
    <row r="24" spans="1:22" x14ac:dyDescent="0.25">
      <c r="A24" s="153">
        <f t="shared" si="1"/>
        <v>17</v>
      </c>
      <c r="B24" s="21" t="s">
        <v>105</v>
      </c>
      <c r="C24" s="153" t="s">
        <v>3</v>
      </c>
      <c r="D24" s="153">
        <v>1</v>
      </c>
      <c r="E24" s="153" t="s">
        <v>130</v>
      </c>
      <c r="F24" s="20">
        <v>977.5</v>
      </c>
      <c r="G24" s="20">
        <v>1272.5</v>
      </c>
      <c r="H24" s="20">
        <v>1000.6</v>
      </c>
      <c r="I24" s="20">
        <v>1088.3</v>
      </c>
      <c r="J24" s="20">
        <v>1984.8</v>
      </c>
      <c r="K24" s="20">
        <v>2083.1999999999998</v>
      </c>
      <c r="L24" s="20">
        <v>2867.9</v>
      </c>
      <c r="M24" s="20">
        <v>2577.6999999999998</v>
      </c>
      <c r="N24" s="20">
        <v>2560.3000000000002</v>
      </c>
      <c r="O24" s="20">
        <v>793.4</v>
      </c>
      <c r="P24" s="20">
        <v>1158.7</v>
      </c>
      <c r="Q24" s="20">
        <v>1038.2</v>
      </c>
      <c r="R24" s="1">
        <f t="shared" si="4"/>
        <v>19403.100000000002</v>
      </c>
    </row>
    <row r="25" spans="1:22" x14ac:dyDescent="0.25">
      <c r="A25" s="153">
        <f t="shared" si="1"/>
        <v>18</v>
      </c>
      <c r="B25" s="21" t="s">
        <v>106</v>
      </c>
      <c r="C25" s="153" t="s">
        <v>3</v>
      </c>
      <c r="D25" s="153">
        <v>1</v>
      </c>
      <c r="E25" s="153" t="s">
        <v>130</v>
      </c>
      <c r="F25" s="20">
        <v>2898.7</v>
      </c>
      <c r="G25" s="20">
        <v>1002.5</v>
      </c>
      <c r="H25" s="20">
        <v>798.2</v>
      </c>
      <c r="I25" s="20">
        <v>2262.5</v>
      </c>
      <c r="J25" s="20">
        <v>2638.4</v>
      </c>
      <c r="K25" s="20">
        <v>4903.8</v>
      </c>
      <c r="L25" s="20">
        <v>6906.9</v>
      </c>
      <c r="M25" s="20">
        <v>6882.8</v>
      </c>
      <c r="N25" s="20">
        <v>6459.7</v>
      </c>
      <c r="O25" s="20">
        <v>3210.1</v>
      </c>
      <c r="P25" s="20">
        <v>3202.4</v>
      </c>
      <c r="Q25" s="20">
        <v>3618.8</v>
      </c>
      <c r="R25" s="1">
        <f t="shared" si="4"/>
        <v>44784.800000000003</v>
      </c>
    </row>
    <row r="26" spans="1:22" x14ac:dyDescent="0.25">
      <c r="A26" s="153">
        <f t="shared" si="1"/>
        <v>19</v>
      </c>
      <c r="B26" s="21" t="s">
        <v>781</v>
      </c>
      <c r="C26" s="153" t="s">
        <v>3</v>
      </c>
      <c r="D26" s="153"/>
      <c r="E26" s="153"/>
      <c r="F26" s="20"/>
      <c r="G26" s="20"/>
      <c r="H26" s="20"/>
      <c r="I26" s="20"/>
      <c r="J26" s="20"/>
      <c r="K26" s="20"/>
      <c r="L26" s="20"/>
      <c r="M26" s="20"/>
      <c r="N26" s="20"/>
      <c r="O26" s="20"/>
      <c r="P26" s="20"/>
      <c r="Q26" s="20"/>
      <c r="R26" s="1">
        <f>SUM(F26:Q26)</f>
        <v>0</v>
      </c>
      <c r="T26" s="1"/>
    </row>
    <row r="27" spans="1:22" x14ac:dyDescent="0.25">
      <c r="A27" s="153">
        <f t="shared" si="1"/>
        <v>20</v>
      </c>
      <c r="B27" s="21" t="s">
        <v>0</v>
      </c>
      <c r="C27" s="153" t="s">
        <v>3</v>
      </c>
      <c r="D27" s="153"/>
      <c r="F27" s="8">
        <f t="shared" ref="F27:Q27" si="5">SUM(F19:F26)</f>
        <v>25474.9</v>
      </c>
      <c r="G27" s="8">
        <f t="shared" si="5"/>
        <v>23188.699999999997</v>
      </c>
      <c r="H27" s="8">
        <f t="shared" si="5"/>
        <v>22109.3</v>
      </c>
      <c r="I27" s="8">
        <f t="shared" si="5"/>
        <v>25361.8</v>
      </c>
      <c r="J27" s="8">
        <f t="shared" si="5"/>
        <v>27601.200000000001</v>
      </c>
      <c r="K27" s="8">
        <f t="shared" si="5"/>
        <v>31833.699999999997</v>
      </c>
      <c r="L27" s="8">
        <f t="shared" si="5"/>
        <v>36509.200000000004</v>
      </c>
      <c r="M27" s="8">
        <f t="shared" si="5"/>
        <v>37127</v>
      </c>
      <c r="N27" s="8">
        <f t="shared" si="5"/>
        <v>35801</v>
      </c>
      <c r="O27" s="8">
        <f t="shared" si="5"/>
        <v>24399.899999999998</v>
      </c>
      <c r="P27" s="8">
        <f t="shared" si="5"/>
        <v>22870.300000000003</v>
      </c>
      <c r="Q27" s="8">
        <f t="shared" si="5"/>
        <v>23502.6</v>
      </c>
      <c r="R27" s="1">
        <f t="shared" si="4"/>
        <v>335779.6</v>
      </c>
    </row>
    <row r="28" spans="1:22" x14ac:dyDescent="0.25">
      <c r="A28" s="153">
        <f t="shared" si="1"/>
        <v>21</v>
      </c>
      <c r="B28" s="21" t="s">
        <v>751</v>
      </c>
      <c r="C28" s="153"/>
      <c r="D28" s="153"/>
      <c r="F28" s="1">
        <f t="shared" ref="F28:Q28" si="6">-SUM(F21:F25)</f>
        <v>-7774.2</v>
      </c>
      <c r="G28" s="1">
        <f t="shared" si="6"/>
        <v>-6679.7</v>
      </c>
      <c r="H28" s="1">
        <f t="shared" si="6"/>
        <v>-5327.4000000000005</v>
      </c>
      <c r="I28" s="1">
        <f t="shared" si="6"/>
        <v>-9307.2999999999993</v>
      </c>
      <c r="J28" s="1">
        <f t="shared" si="6"/>
        <v>-11613.699999999999</v>
      </c>
      <c r="K28" s="1">
        <f t="shared" si="6"/>
        <v>-15529</v>
      </c>
      <c r="L28" s="1">
        <f t="shared" si="6"/>
        <v>-21019.5</v>
      </c>
      <c r="M28" s="1">
        <f t="shared" si="6"/>
        <v>-20828.599999999999</v>
      </c>
      <c r="N28" s="1">
        <f t="shared" si="6"/>
        <v>-19120.3</v>
      </c>
      <c r="O28" s="1">
        <f t="shared" si="6"/>
        <v>-8314.5</v>
      </c>
      <c r="P28" s="1">
        <f t="shared" si="6"/>
        <v>-8944.4</v>
      </c>
      <c r="Q28" s="1">
        <f t="shared" si="6"/>
        <v>-9005.2000000000007</v>
      </c>
      <c r="R28" s="1">
        <f t="shared" si="4"/>
        <v>-143463.80000000002</v>
      </c>
    </row>
    <row r="29" spans="1:22" x14ac:dyDescent="0.25">
      <c r="A29" s="153">
        <f t="shared" si="1"/>
        <v>22</v>
      </c>
      <c r="B29" s="21" t="s">
        <v>131</v>
      </c>
      <c r="C29" s="153"/>
      <c r="D29" s="153"/>
      <c r="F29" s="1">
        <f t="shared" ref="F29:Q29" si="7">SUM(F27:F28)</f>
        <v>17700.7</v>
      </c>
      <c r="G29" s="1">
        <f t="shared" si="7"/>
        <v>16508.999999999996</v>
      </c>
      <c r="H29" s="1">
        <f t="shared" si="7"/>
        <v>16781.899999999998</v>
      </c>
      <c r="I29" s="1">
        <f t="shared" si="7"/>
        <v>16054.5</v>
      </c>
      <c r="J29" s="1">
        <f t="shared" si="7"/>
        <v>15987.500000000002</v>
      </c>
      <c r="K29" s="1">
        <f t="shared" si="7"/>
        <v>16304.699999999997</v>
      </c>
      <c r="L29" s="1">
        <f t="shared" si="7"/>
        <v>15489.700000000004</v>
      </c>
      <c r="M29" s="1">
        <f t="shared" si="7"/>
        <v>16298.400000000001</v>
      </c>
      <c r="N29" s="1">
        <f t="shared" si="7"/>
        <v>16680.7</v>
      </c>
      <c r="O29" s="1">
        <f t="shared" si="7"/>
        <v>16085.399999999998</v>
      </c>
      <c r="P29" s="1">
        <f t="shared" si="7"/>
        <v>13925.900000000003</v>
      </c>
      <c r="Q29" s="1">
        <f t="shared" si="7"/>
        <v>14497.399999999998</v>
      </c>
      <c r="R29" s="1">
        <f>SUM(F29:Q29)</f>
        <v>192315.8</v>
      </c>
    </row>
    <row r="30" spans="1:22" x14ac:dyDescent="0.25">
      <c r="A30" s="153">
        <f t="shared" si="1"/>
        <v>23</v>
      </c>
      <c r="C30" s="153"/>
      <c r="D30" s="153"/>
      <c r="F30" s="1"/>
      <c r="G30" s="1"/>
      <c r="H30" s="1"/>
      <c r="I30" s="1"/>
      <c r="J30" s="1"/>
      <c r="K30" s="1"/>
      <c r="L30" s="1"/>
      <c r="M30" s="1"/>
      <c r="N30" s="1"/>
      <c r="O30" s="1"/>
      <c r="P30" s="1"/>
      <c r="Q30" s="1"/>
      <c r="R30" s="1"/>
      <c r="T30" s="1"/>
      <c r="V30" s="13"/>
    </row>
    <row r="31" spans="1:22" x14ac:dyDescent="0.25">
      <c r="A31" s="153">
        <f t="shared" si="1"/>
        <v>24</v>
      </c>
      <c r="C31" s="153"/>
      <c r="F31" s="1"/>
      <c r="G31" s="1"/>
      <c r="H31" s="1"/>
      <c r="I31" s="1"/>
      <c r="J31" s="1"/>
      <c r="K31" s="1"/>
      <c r="L31" s="1"/>
      <c r="M31" s="1"/>
      <c r="N31" s="1"/>
      <c r="O31" s="1"/>
      <c r="P31" s="1"/>
      <c r="Q31" s="1"/>
      <c r="R31" s="1"/>
      <c r="V31" s="13"/>
    </row>
    <row r="32" spans="1:22" x14ac:dyDescent="0.25">
      <c r="A32" s="153">
        <f t="shared" si="1"/>
        <v>25</v>
      </c>
      <c r="B32" s="16" t="s">
        <v>111</v>
      </c>
      <c r="C32" s="153"/>
      <c r="F32" s="1"/>
      <c r="G32" s="1"/>
      <c r="H32" s="1"/>
      <c r="I32" s="1"/>
      <c r="J32" s="1"/>
      <c r="K32" s="1"/>
      <c r="L32" s="1"/>
      <c r="M32" s="1"/>
      <c r="N32" s="1"/>
      <c r="O32" s="1"/>
      <c r="P32" s="1"/>
      <c r="Q32" s="1"/>
      <c r="R32" s="1"/>
    </row>
    <row r="33" spans="1:22" x14ac:dyDescent="0.25">
      <c r="A33" s="153">
        <f t="shared" si="1"/>
        <v>26</v>
      </c>
      <c r="B33" s="21" t="s">
        <v>112</v>
      </c>
      <c r="C33" s="153" t="s">
        <v>3</v>
      </c>
      <c r="D33" s="21">
        <v>1</v>
      </c>
      <c r="E33" s="153" t="s">
        <v>129</v>
      </c>
      <c r="F33" s="20">
        <v>2696.4</v>
      </c>
      <c r="G33" s="20">
        <v>3981.6</v>
      </c>
      <c r="H33" s="20">
        <v>2860.2</v>
      </c>
      <c r="I33" s="20">
        <v>13910.4</v>
      </c>
      <c r="J33" s="20">
        <v>11730.6</v>
      </c>
      <c r="K33" s="20">
        <v>14666.4</v>
      </c>
      <c r="L33" s="20">
        <v>20210.400000000001</v>
      </c>
      <c r="M33" s="20">
        <v>24885</v>
      </c>
      <c r="N33" s="20">
        <v>20525.400000000001</v>
      </c>
      <c r="O33" s="20">
        <v>2557.8000000000002</v>
      </c>
      <c r="P33" s="20">
        <v>5166</v>
      </c>
      <c r="Q33" s="20">
        <v>4977</v>
      </c>
      <c r="R33" s="1">
        <f t="shared" ref="R33:R55" si="8">SUM(F33:Q33)</f>
        <v>128167.2</v>
      </c>
      <c r="T33" s="1"/>
      <c r="V33" s="22"/>
    </row>
    <row r="34" spans="1:22" x14ac:dyDescent="0.25">
      <c r="A34" s="153">
        <f t="shared" si="1"/>
        <v>27</v>
      </c>
      <c r="B34" s="21" t="s">
        <v>113</v>
      </c>
      <c r="C34" s="153" t="s">
        <v>3</v>
      </c>
      <c r="D34" s="21">
        <v>1</v>
      </c>
      <c r="E34" s="153" t="s">
        <v>129</v>
      </c>
      <c r="F34" s="20">
        <v>3240</v>
      </c>
      <c r="G34" s="20">
        <v>3888</v>
      </c>
      <c r="H34" s="20">
        <v>3570.5</v>
      </c>
      <c r="I34" s="20">
        <v>4730.3999999999996</v>
      </c>
      <c r="J34" s="20">
        <v>6207.8</v>
      </c>
      <c r="K34" s="20">
        <v>4717.3999999999996</v>
      </c>
      <c r="L34" s="20">
        <v>7717.7</v>
      </c>
      <c r="M34" s="20">
        <v>8735</v>
      </c>
      <c r="N34" s="20">
        <v>7873.2</v>
      </c>
      <c r="O34" s="20">
        <v>2903</v>
      </c>
      <c r="P34" s="20">
        <v>4237.8999999999996</v>
      </c>
      <c r="Q34" s="20">
        <v>4685</v>
      </c>
      <c r="R34" s="1">
        <f t="shared" si="8"/>
        <v>62505.899999999994</v>
      </c>
      <c r="T34" s="1"/>
      <c r="V34" s="22"/>
    </row>
    <row r="35" spans="1:22" x14ac:dyDescent="0.25">
      <c r="A35" s="153">
        <f t="shared" si="1"/>
        <v>28</v>
      </c>
      <c r="B35" s="21" t="s">
        <v>114</v>
      </c>
      <c r="C35" s="153" t="s">
        <v>3</v>
      </c>
      <c r="D35" s="21">
        <v>1</v>
      </c>
      <c r="E35" s="153" t="s">
        <v>129</v>
      </c>
      <c r="F35" s="20">
        <v>1257.0999999999999</v>
      </c>
      <c r="G35" s="20">
        <v>1577.9</v>
      </c>
      <c r="H35" s="20">
        <v>1309</v>
      </c>
      <c r="I35" s="20">
        <v>6748.9</v>
      </c>
      <c r="J35" s="20">
        <v>5268.2</v>
      </c>
      <c r="K35" s="20">
        <v>5517.7</v>
      </c>
      <c r="L35" s="20">
        <v>8433.7000000000007</v>
      </c>
      <c r="M35" s="20">
        <v>9421.9</v>
      </c>
      <c r="N35" s="20">
        <v>7348.3</v>
      </c>
      <c r="O35" s="20">
        <v>1516.3</v>
      </c>
      <c r="P35" s="20">
        <v>1137.2</v>
      </c>
      <c r="Q35" s="20">
        <v>1153.4000000000001</v>
      </c>
      <c r="R35" s="1">
        <f t="shared" si="8"/>
        <v>50689.600000000006</v>
      </c>
      <c r="T35" s="1"/>
      <c r="V35" s="22"/>
    </row>
    <row r="36" spans="1:22" x14ac:dyDescent="0.25">
      <c r="A36" s="153">
        <f t="shared" si="1"/>
        <v>29</v>
      </c>
      <c r="B36" s="21" t="s">
        <v>115</v>
      </c>
      <c r="C36" s="153" t="s">
        <v>3</v>
      </c>
      <c r="D36" s="21">
        <v>1</v>
      </c>
      <c r="E36" s="153" t="s">
        <v>129</v>
      </c>
      <c r="F36" s="20">
        <v>4395.3</v>
      </c>
      <c r="G36" s="20">
        <v>3208.8</v>
      </c>
      <c r="H36" s="20">
        <v>4717.5</v>
      </c>
      <c r="I36" s="20">
        <v>10414.9</v>
      </c>
      <c r="J36" s="20">
        <v>13023</v>
      </c>
      <c r="K36" s="20">
        <v>8421</v>
      </c>
      <c r="L36" s="20">
        <v>18913</v>
      </c>
      <c r="M36" s="20">
        <v>20343.099999999999</v>
      </c>
      <c r="N36" s="20">
        <v>18293.5</v>
      </c>
      <c r="O36" s="20">
        <v>5067.3</v>
      </c>
      <c r="P36" s="20">
        <v>8484.6</v>
      </c>
      <c r="Q36" s="20">
        <v>9136.2000000000007</v>
      </c>
      <c r="R36" s="1">
        <f t="shared" si="8"/>
        <v>124418.20000000001</v>
      </c>
      <c r="T36" s="1"/>
      <c r="V36" s="22"/>
    </row>
    <row r="37" spans="1:22" x14ac:dyDescent="0.25">
      <c r="A37" s="153">
        <f t="shared" si="1"/>
        <v>30</v>
      </c>
      <c r="B37" s="21" t="s">
        <v>116</v>
      </c>
      <c r="C37" s="153" t="s">
        <v>3</v>
      </c>
      <c r="D37" s="21">
        <v>1</v>
      </c>
      <c r="E37" s="153" t="s">
        <v>129</v>
      </c>
      <c r="F37" s="20">
        <v>11175.7</v>
      </c>
      <c r="G37" s="20">
        <v>15581.5</v>
      </c>
      <c r="H37" s="20">
        <v>9920.4</v>
      </c>
      <c r="I37" s="20">
        <v>6194.1</v>
      </c>
      <c r="J37" s="20">
        <v>8205.6</v>
      </c>
      <c r="K37" s="20">
        <v>10979.5</v>
      </c>
      <c r="L37" s="20">
        <v>11133.6</v>
      </c>
      <c r="M37" s="20">
        <v>12698.5</v>
      </c>
      <c r="N37" s="20">
        <v>9286.9</v>
      </c>
      <c r="O37" s="20">
        <v>4919.6000000000004</v>
      </c>
      <c r="P37" s="20">
        <v>7753</v>
      </c>
      <c r="Q37" s="20">
        <v>8912</v>
      </c>
      <c r="R37" s="1">
        <f t="shared" si="8"/>
        <v>116760.4</v>
      </c>
      <c r="T37" s="1"/>
      <c r="V37" s="22"/>
    </row>
    <row r="38" spans="1:22" x14ac:dyDescent="0.25">
      <c r="A38" s="153">
        <f t="shared" si="1"/>
        <v>31</v>
      </c>
      <c r="B38" s="21" t="s">
        <v>117</v>
      </c>
      <c r="C38" s="153" t="s">
        <v>3</v>
      </c>
      <c r="D38" s="21">
        <v>1</v>
      </c>
      <c r="E38" s="153" t="s">
        <v>129</v>
      </c>
      <c r="F38" s="20">
        <v>20431.099999999999</v>
      </c>
      <c r="G38" s="20">
        <v>29255.5</v>
      </c>
      <c r="H38" s="20">
        <v>18716.400000000001</v>
      </c>
      <c r="I38" s="20">
        <v>19800.7</v>
      </c>
      <c r="J38" s="20">
        <v>21997</v>
      </c>
      <c r="K38" s="20">
        <v>33480.199999999997</v>
      </c>
      <c r="L38" s="20">
        <v>33284.800000000003</v>
      </c>
      <c r="M38" s="20">
        <v>34555.800000000003</v>
      </c>
      <c r="N38" s="20">
        <v>32478.3</v>
      </c>
      <c r="O38" s="20">
        <v>25439.4</v>
      </c>
      <c r="P38" s="20">
        <v>14786.7</v>
      </c>
      <c r="Q38" s="20">
        <v>16531.8</v>
      </c>
      <c r="R38" s="1">
        <f t="shared" si="8"/>
        <v>300757.7</v>
      </c>
      <c r="T38" s="1"/>
      <c r="V38" s="22"/>
    </row>
    <row r="39" spans="1:22" x14ac:dyDescent="0.25">
      <c r="A39" s="153">
        <f t="shared" si="1"/>
        <v>32</v>
      </c>
      <c r="B39" s="21" t="s">
        <v>118</v>
      </c>
      <c r="C39" s="153" t="s">
        <v>3</v>
      </c>
      <c r="D39" s="21">
        <v>1</v>
      </c>
      <c r="E39" s="153" t="s">
        <v>129</v>
      </c>
      <c r="F39" s="20">
        <v>1226.9000000000001</v>
      </c>
      <c r="G39" s="20">
        <v>1131.8</v>
      </c>
      <c r="H39" s="20">
        <v>1546.6</v>
      </c>
      <c r="I39" s="20">
        <v>6955.2</v>
      </c>
      <c r="J39" s="20">
        <v>7050.2</v>
      </c>
      <c r="K39" s="20">
        <v>7732.8</v>
      </c>
      <c r="L39" s="20">
        <v>9046.1</v>
      </c>
      <c r="M39" s="20">
        <v>10964.2</v>
      </c>
      <c r="N39" s="20">
        <v>9227.5</v>
      </c>
      <c r="O39" s="20">
        <v>1969.9</v>
      </c>
      <c r="P39" s="20">
        <v>1598.4</v>
      </c>
      <c r="Q39" s="20">
        <v>1823</v>
      </c>
      <c r="R39" s="1">
        <f t="shared" si="8"/>
        <v>60272.600000000006</v>
      </c>
      <c r="T39" s="1"/>
      <c r="V39" s="22"/>
    </row>
    <row r="40" spans="1:22" x14ac:dyDescent="0.25">
      <c r="A40" s="153">
        <f t="shared" si="1"/>
        <v>33</v>
      </c>
      <c r="B40" s="21" t="s">
        <v>119</v>
      </c>
      <c r="C40" s="153" t="s">
        <v>3</v>
      </c>
      <c r="D40" s="21">
        <v>1</v>
      </c>
      <c r="E40" s="153" t="s">
        <v>129</v>
      </c>
      <c r="F40" s="20">
        <v>6972.5</v>
      </c>
      <c r="G40" s="20">
        <v>9858.2000000000007</v>
      </c>
      <c r="H40" s="20">
        <v>6199.2</v>
      </c>
      <c r="I40" s="20">
        <v>5400</v>
      </c>
      <c r="J40" s="20">
        <v>6393.6</v>
      </c>
      <c r="K40" s="20">
        <v>7382.9</v>
      </c>
      <c r="L40" s="20">
        <v>8985.6</v>
      </c>
      <c r="M40" s="20">
        <v>9810.7000000000007</v>
      </c>
      <c r="N40" s="20">
        <v>8406.7000000000007</v>
      </c>
      <c r="O40" s="20">
        <v>5378.4</v>
      </c>
      <c r="P40" s="20">
        <v>7365.6</v>
      </c>
      <c r="Q40" s="20">
        <v>8095.7</v>
      </c>
      <c r="R40" s="1">
        <f t="shared" si="8"/>
        <v>90249.099999999991</v>
      </c>
      <c r="T40" s="1"/>
      <c r="V40" s="22"/>
    </row>
    <row r="41" spans="1:22" x14ac:dyDescent="0.25">
      <c r="A41" s="153">
        <f t="shared" si="1"/>
        <v>34</v>
      </c>
      <c r="B41" s="21" t="s">
        <v>120</v>
      </c>
      <c r="C41" s="153" t="s">
        <v>3</v>
      </c>
      <c r="D41" s="21">
        <v>1</v>
      </c>
      <c r="E41" s="153" t="s">
        <v>129</v>
      </c>
      <c r="F41" s="20">
        <v>2167.6</v>
      </c>
      <c r="G41" s="20">
        <v>3129.8</v>
      </c>
      <c r="H41" s="20">
        <v>2038</v>
      </c>
      <c r="I41" s="20">
        <v>4348.1000000000004</v>
      </c>
      <c r="J41" s="20">
        <v>5226.1000000000004</v>
      </c>
      <c r="K41" s="20">
        <v>3936.6</v>
      </c>
      <c r="L41" s="20">
        <v>8129.2</v>
      </c>
      <c r="M41" s="20">
        <v>9276.1</v>
      </c>
      <c r="N41" s="20">
        <v>7474.7</v>
      </c>
      <c r="O41" s="20">
        <v>2148.1</v>
      </c>
      <c r="P41" s="20">
        <v>1911.6</v>
      </c>
      <c r="Q41" s="20">
        <v>1924.6</v>
      </c>
      <c r="R41" s="1">
        <f t="shared" si="8"/>
        <v>51710.499999999993</v>
      </c>
      <c r="T41" s="1"/>
      <c r="V41" s="22"/>
    </row>
    <row r="42" spans="1:22" x14ac:dyDescent="0.25">
      <c r="A42" s="153">
        <f t="shared" si="1"/>
        <v>35</v>
      </c>
      <c r="B42" s="21" t="s">
        <v>121</v>
      </c>
      <c r="C42" s="153" t="s">
        <v>3</v>
      </c>
      <c r="D42" s="21">
        <v>1</v>
      </c>
      <c r="E42" s="153" t="s">
        <v>129</v>
      </c>
      <c r="F42" s="20">
        <v>2613.6</v>
      </c>
      <c r="G42" s="20">
        <v>3855.6</v>
      </c>
      <c r="H42" s="20">
        <v>2419.1999999999998</v>
      </c>
      <c r="I42" s="20">
        <v>2676.2</v>
      </c>
      <c r="J42" s="20">
        <v>2157.8000000000002</v>
      </c>
      <c r="K42" s="20">
        <v>2948.4</v>
      </c>
      <c r="L42" s="20">
        <v>3875</v>
      </c>
      <c r="M42" s="20">
        <v>4626.7</v>
      </c>
      <c r="N42" s="20">
        <v>3970.1</v>
      </c>
      <c r="O42" s="20">
        <v>1665.4</v>
      </c>
      <c r="P42" s="20">
        <v>1987.2</v>
      </c>
      <c r="Q42" s="20">
        <v>2093</v>
      </c>
      <c r="R42" s="1">
        <f t="shared" si="8"/>
        <v>34888.199999999997</v>
      </c>
      <c r="T42" s="1"/>
      <c r="V42" s="22"/>
    </row>
    <row r="43" spans="1:22" x14ac:dyDescent="0.25">
      <c r="A43" s="153">
        <f t="shared" si="1"/>
        <v>36</v>
      </c>
      <c r="B43" s="21" t="s">
        <v>122</v>
      </c>
      <c r="C43" s="153" t="s">
        <v>3</v>
      </c>
      <c r="D43" s="21">
        <v>1</v>
      </c>
      <c r="E43" s="153" t="s">
        <v>129</v>
      </c>
      <c r="F43" s="20">
        <v>6713.4</v>
      </c>
      <c r="G43" s="20">
        <v>22499.8</v>
      </c>
      <c r="H43" s="20">
        <v>13667.5</v>
      </c>
      <c r="I43" s="20">
        <v>14329.1</v>
      </c>
      <c r="J43" s="20">
        <v>15223.9</v>
      </c>
      <c r="K43" s="20">
        <v>21828.799999999999</v>
      </c>
      <c r="L43" s="20">
        <v>21763</v>
      </c>
      <c r="M43" s="20">
        <v>23839.200000000001</v>
      </c>
      <c r="N43" s="20">
        <v>22034.5</v>
      </c>
      <c r="O43" s="20">
        <v>17419.2</v>
      </c>
      <c r="P43" s="20">
        <v>11422.3</v>
      </c>
      <c r="Q43" s="20">
        <v>12825.9</v>
      </c>
      <c r="R43" s="1">
        <f t="shared" si="8"/>
        <v>203566.6</v>
      </c>
      <c r="S43" s="90"/>
      <c r="T43" s="1"/>
      <c r="V43" s="22"/>
    </row>
    <row r="44" spans="1:22" x14ac:dyDescent="0.25">
      <c r="A44" s="153">
        <f t="shared" si="1"/>
        <v>37</v>
      </c>
      <c r="B44" s="21" t="s">
        <v>248</v>
      </c>
      <c r="C44" s="153" t="s">
        <v>3</v>
      </c>
      <c r="D44" s="21">
        <v>3</v>
      </c>
      <c r="E44" s="153" t="s">
        <v>129</v>
      </c>
      <c r="F44" s="20">
        <v>20625.099999999999</v>
      </c>
      <c r="G44" s="20">
        <v>28109.599999999999</v>
      </c>
      <c r="H44" s="20">
        <v>15456.6</v>
      </c>
      <c r="I44" s="20">
        <v>15730.2</v>
      </c>
      <c r="J44" s="20">
        <v>12179.7</v>
      </c>
      <c r="K44" s="20">
        <v>26414.2</v>
      </c>
      <c r="L44" s="20">
        <v>26401.4</v>
      </c>
      <c r="M44" s="20">
        <v>26219.200000000001</v>
      </c>
      <c r="N44" s="20">
        <v>23754</v>
      </c>
      <c r="O44" s="20">
        <v>17706.3</v>
      </c>
      <c r="P44" s="20">
        <v>13349.4</v>
      </c>
      <c r="Q44" s="20">
        <v>17135.2</v>
      </c>
      <c r="R44" s="1">
        <f t="shared" si="8"/>
        <v>243080.9</v>
      </c>
      <c r="T44" s="1"/>
      <c r="V44" s="22"/>
    </row>
    <row r="45" spans="1:22" x14ac:dyDescent="0.25">
      <c r="A45" s="153">
        <f t="shared" si="1"/>
        <v>38</v>
      </c>
      <c r="B45" s="21" t="s">
        <v>123</v>
      </c>
      <c r="C45" s="153" t="s">
        <v>3</v>
      </c>
      <c r="D45" s="21">
        <v>1</v>
      </c>
      <c r="E45" s="153" t="s">
        <v>129</v>
      </c>
      <c r="F45" s="20">
        <v>9013.7000000000007</v>
      </c>
      <c r="G45" s="20">
        <v>12354.1</v>
      </c>
      <c r="H45" s="20">
        <v>8187.5</v>
      </c>
      <c r="I45" s="20">
        <v>7481.2</v>
      </c>
      <c r="J45" s="20">
        <v>7921.8</v>
      </c>
      <c r="K45" s="20">
        <v>10607.8</v>
      </c>
      <c r="L45" s="20">
        <v>11479.3</v>
      </c>
      <c r="M45" s="20">
        <v>12451.3</v>
      </c>
      <c r="N45" s="20">
        <v>11054.9</v>
      </c>
      <c r="O45" s="20">
        <v>8080.6</v>
      </c>
      <c r="P45" s="20">
        <v>7095.6</v>
      </c>
      <c r="Q45" s="20">
        <v>7627</v>
      </c>
      <c r="R45" s="1">
        <f t="shared" si="8"/>
        <v>113354.80000000002</v>
      </c>
      <c r="T45" s="1"/>
      <c r="V45" s="22"/>
    </row>
    <row r="46" spans="1:22" x14ac:dyDescent="0.25">
      <c r="A46" s="153">
        <f t="shared" si="1"/>
        <v>39</v>
      </c>
      <c r="B46" s="21" t="s">
        <v>124</v>
      </c>
      <c r="C46" s="153" t="s">
        <v>3</v>
      </c>
      <c r="D46" s="21">
        <v>1</v>
      </c>
      <c r="E46" s="153" t="s">
        <v>129</v>
      </c>
      <c r="F46" s="20">
        <v>573.5</v>
      </c>
      <c r="G46" s="20">
        <v>761.4</v>
      </c>
      <c r="H46" s="20">
        <v>1561.7</v>
      </c>
      <c r="I46" s="20">
        <v>2436.5</v>
      </c>
      <c r="J46" s="20">
        <v>2391.1</v>
      </c>
      <c r="K46" s="20">
        <v>1827.4</v>
      </c>
      <c r="L46" s="20">
        <v>2115.6999999999998</v>
      </c>
      <c r="M46" s="20">
        <v>3632</v>
      </c>
      <c r="N46" s="20">
        <v>3107.2</v>
      </c>
      <c r="O46" s="20">
        <v>609.1</v>
      </c>
      <c r="P46" s="20">
        <v>1121</v>
      </c>
      <c r="Q46" s="20">
        <v>1402.9</v>
      </c>
      <c r="R46" s="1">
        <f t="shared" si="8"/>
        <v>21539.5</v>
      </c>
      <c r="S46" s="90"/>
      <c r="T46" s="1"/>
      <c r="V46" s="22"/>
    </row>
    <row r="47" spans="1:22" x14ac:dyDescent="0.25">
      <c r="A47" s="153">
        <f t="shared" si="1"/>
        <v>40</v>
      </c>
      <c r="B47" s="21" t="s">
        <v>125</v>
      </c>
      <c r="C47" s="153" t="s">
        <v>3</v>
      </c>
      <c r="D47" s="21">
        <v>1</v>
      </c>
      <c r="E47" s="153" t="s">
        <v>129</v>
      </c>
      <c r="F47" s="20">
        <v>29419.200000000001</v>
      </c>
      <c r="G47" s="20">
        <v>26924.400000000001</v>
      </c>
      <c r="H47" s="20">
        <v>17560.8</v>
      </c>
      <c r="I47" s="20">
        <v>18662.400000000001</v>
      </c>
      <c r="J47" s="20">
        <v>20476.8</v>
      </c>
      <c r="K47" s="20">
        <v>25498.799999999999</v>
      </c>
      <c r="L47" s="20">
        <v>26665.200000000001</v>
      </c>
      <c r="M47" s="20">
        <v>28900.799999999999</v>
      </c>
      <c r="N47" s="20">
        <v>26600.400000000001</v>
      </c>
      <c r="O47" s="20">
        <v>18986.400000000001</v>
      </c>
      <c r="P47" s="20">
        <v>18986.400000000001</v>
      </c>
      <c r="Q47" s="20">
        <v>20606.400000000001</v>
      </c>
      <c r="R47" s="1">
        <f t="shared" si="8"/>
        <v>279288</v>
      </c>
      <c r="S47" s="90"/>
      <c r="T47" s="1"/>
      <c r="V47" s="22"/>
    </row>
    <row r="48" spans="1:22" x14ac:dyDescent="0.25">
      <c r="A48" s="153">
        <f t="shared" si="1"/>
        <v>41</v>
      </c>
      <c r="B48" s="21" t="s">
        <v>126</v>
      </c>
      <c r="C48" s="153" t="s">
        <v>3</v>
      </c>
      <c r="D48" s="21">
        <v>1</v>
      </c>
      <c r="E48" s="153" t="s">
        <v>129</v>
      </c>
      <c r="F48" s="20">
        <v>7983.5</v>
      </c>
      <c r="G48" s="20">
        <v>10906.4</v>
      </c>
      <c r="H48" s="20">
        <v>7037.7</v>
      </c>
      <c r="I48" s="20">
        <v>7998.4</v>
      </c>
      <c r="J48" s="20">
        <v>8021.6</v>
      </c>
      <c r="K48" s="20">
        <v>8125.9</v>
      </c>
      <c r="L48" s="20">
        <v>9241</v>
      </c>
      <c r="M48" s="20">
        <v>10819.2</v>
      </c>
      <c r="N48" s="20">
        <v>10367.700000000001</v>
      </c>
      <c r="O48" s="20">
        <v>5598.7</v>
      </c>
      <c r="P48" s="20">
        <v>6180.7</v>
      </c>
      <c r="Q48" s="20">
        <v>6916.9</v>
      </c>
      <c r="R48" s="1">
        <f t="shared" si="8"/>
        <v>99197.699999999983</v>
      </c>
      <c r="S48" s="90"/>
      <c r="T48" s="1"/>
      <c r="V48" s="22"/>
    </row>
    <row r="49" spans="1:22" x14ac:dyDescent="0.25">
      <c r="A49" s="173">
        <f t="shared" si="1"/>
        <v>42</v>
      </c>
      <c r="B49" s="21" t="s">
        <v>860</v>
      </c>
      <c r="C49" s="173" t="s">
        <v>861</v>
      </c>
      <c r="D49" s="21">
        <v>1</v>
      </c>
      <c r="E49" s="173" t="s">
        <v>129</v>
      </c>
      <c r="F49" s="169">
        <v>31730.2</v>
      </c>
      <c r="G49" s="169">
        <v>43479.9</v>
      </c>
      <c r="H49" s="169">
        <v>28576.7</v>
      </c>
      <c r="I49" s="169">
        <v>29023</v>
      </c>
      <c r="J49" s="169">
        <v>29660.5</v>
      </c>
      <c r="K49" s="169">
        <v>43664.1</v>
      </c>
      <c r="L49" s="169">
        <v>41757.800000000003</v>
      </c>
      <c r="M49" s="169">
        <v>46782</v>
      </c>
      <c r="N49" s="169">
        <v>43030</v>
      </c>
      <c r="O49" s="169">
        <v>32133.5</v>
      </c>
      <c r="P49" s="169">
        <v>23191.599999999999</v>
      </c>
      <c r="Q49" s="169">
        <v>25818.3</v>
      </c>
      <c r="R49" s="1"/>
      <c r="S49" s="90"/>
      <c r="T49" s="1"/>
      <c r="V49" s="22"/>
    </row>
    <row r="50" spans="1:22" x14ac:dyDescent="0.25">
      <c r="A50" s="173">
        <f t="shared" si="1"/>
        <v>43</v>
      </c>
      <c r="B50" s="21" t="s">
        <v>843</v>
      </c>
      <c r="C50" s="153" t="s">
        <v>3</v>
      </c>
      <c r="D50" s="153"/>
      <c r="E50" s="153" t="s">
        <v>129</v>
      </c>
      <c r="F50" s="20">
        <v>0</v>
      </c>
      <c r="G50" s="20">
        <v>140.30000000000001</v>
      </c>
      <c r="H50" s="20">
        <v>0</v>
      </c>
      <c r="I50" s="20">
        <v>89.6</v>
      </c>
      <c r="J50" s="20">
        <v>88.5</v>
      </c>
      <c r="K50" s="20">
        <v>0</v>
      </c>
      <c r="L50" s="20">
        <v>25.8</v>
      </c>
      <c r="M50" s="20">
        <v>0</v>
      </c>
      <c r="N50" s="20">
        <v>0</v>
      </c>
      <c r="O50" s="20">
        <v>0</v>
      </c>
      <c r="P50" s="20">
        <v>0</v>
      </c>
      <c r="Q50" s="20">
        <v>0</v>
      </c>
      <c r="R50" s="1">
        <f>SUM(F50:Q50)</f>
        <v>344.2</v>
      </c>
      <c r="T50" s="1"/>
      <c r="V50" s="22"/>
    </row>
    <row r="51" spans="1:22" x14ac:dyDescent="0.25">
      <c r="A51" s="153">
        <f t="shared" si="1"/>
        <v>44</v>
      </c>
      <c r="B51" s="21" t="s">
        <v>0</v>
      </c>
      <c r="F51" s="1">
        <f t="shared" ref="F51:P51" si="9">SUM(F33:F50)</f>
        <v>162234.79999999999</v>
      </c>
      <c r="G51" s="1">
        <f t="shared" si="9"/>
        <v>220644.59999999998</v>
      </c>
      <c r="H51" s="1">
        <f t="shared" si="9"/>
        <v>145345.5</v>
      </c>
      <c r="I51" s="1">
        <f t="shared" si="9"/>
        <v>176929.3</v>
      </c>
      <c r="J51" s="1">
        <f t="shared" si="9"/>
        <v>183223.80000000002</v>
      </c>
      <c r="K51" s="1">
        <f t="shared" si="9"/>
        <v>237749.89999999997</v>
      </c>
      <c r="L51" s="1">
        <f t="shared" si="9"/>
        <v>269178.30000000005</v>
      </c>
      <c r="M51" s="1">
        <f t="shared" si="9"/>
        <v>297960.70000000007</v>
      </c>
      <c r="N51" s="1">
        <f t="shared" si="9"/>
        <v>264833.30000000005</v>
      </c>
      <c r="O51" s="1">
        <f t="shared" si="9"/>
        <v>154099</v>
      </c>
      <c r="P51" s="1">
        <f t="shared" si="9"/>
        <v>135775.19999999998</v>
      </c>
      <c r="Q51" s="1">
        <f>SUM(Q33:Q50)</f>
        <v>151664.29999999996</v>
      </c>
      <c r="R51" s="1">
        <f t="shared" si="8"/>
        <v>2399638.7000000002</v>
      </c>
      <c r="S51" s="111"/>
      <c r="T51" s="1"/>
      <c r="V51" s="22"/>
    </row>
    <row r="52" spans="1:22" x14ac:dyDescent="0.25">
      <c r="A52" s="153">
        <f t="shared" si="1"/>
        <v>45</v>
      </c>
      <c r="B52" s="34" t="s">
        <v>751</v>
      </c>
      <c r="F52" s="22"/>
      <c r="G52" s="22"/>
      <c r="H52" s="22"/>
      <c r="I52" s="22"/>
      <c r="J52" s="22"/>
      <c r="K52" s="22"/>
      <c r="L52" s="22"/>
      <c r="M52" s="22"/>
      <c r="N52" s="22"/>
      <c r="O52" s="22"/>
      <c r="P52" s="22"/>
      <c r="Q52" s="22"/>
      <c r="R52" s="22">
        <f>SUM(F52:Q52)</f>
        <v>0</v>
      </c>
      <c r="T52" s="1"/>
      <c r="V52" s="22"/>
    </row>
    <row r="53" spans="1:22" x14ac:dyDescent="0.25">
      <c r="A53" s="153">
        <f t="shared" si="1"/>
        <v>46</v>
      </c>
      <c r="B53" s="21" t="s">
        <v>823</v>
      </c>
      <c r="C53" s="21" t="s">
        <v>3</v>
      </c>
      <c r="F53" s="25">
        <v>-6363.9</v>
      </c>
      <c r="G53" s="25">
        <v>0</v>
      </c>
      <c r="H53" s="20">
        <v>-1431.2</v>
      </c>
      <c r="I53" s="20">
        <v>0</v>
      </c>
      <c r="J53" s="20">
        <v>0</v>
      </c>
      <c r="K53" s="20">
        <v>-4669.3</v>
      </c>
      <c r="L53" s="20">
        <v>-27.2</v>
      </c>
      <c r="M53" s="20">
        <v>-4887.2</v>
      </c>
      <c r="N53" s="20">
        <v>-4077.7</v>
      </c>
      <c r="O53" s="20">
        <v>-7325.5</v>
      </c>
      <c r="P53" s="20">
        <v>-6747.4</v>
      </c>
      <c r="Q53" s="20">
        <v>-3826.3</v>
      </c>
      <c r="R53" s="22">
        <f>SUM(F53:Q53)</f>
        <v>-39355.700000000004</v>
      </c>
      <c r="T53" s="1"/>
      <c r="V53" s="22"/>
    </row>
    <row r="54" spans="1:22" x14ac:dyDescent="0.25">
      <c r="A54" s="153">
        <f t="shared" si="1"/>
        <v>47</v>
      </c>
      <c r="B54" s="21" t="s">
        <v>824</v>
      </c>
      <c r="C54" s="21" t="s">
        <v>3</v>
      </c>
      <c r="F54" s="22">
        <v>20000</v>
      </c>
      <c r="G54" s="22">
        <v>20000</v>
      </c>
      <c r="H54" s="22">
        <v>20000</v>
      </c>
      <c r="I54" s="22">
        <v>20000</v>
      </c>
      <c r="J54" s="22">
        <v>20000</v>
      </c>
      <c r="K54" s="22">
        <v>20000</v>
      </c>
      <c r="L54" s="22">
        <v>20000</v>
      </c>
      <c r="M54" s="22">
        <v>20000</v>
      </c>
      <c r="N54" s="22">
        <v>20000</v>
      </c>
      <c r="O54" s="22">
        <v>20000</v>
      </c>
      <c r="P54" s="22">
        <v>20000</v>
      </c>
      <c r="Q54" s="22">
        <v>20000</v>
      </c>
      <c r="R54" s="22">
        <f t="shared" ref="R54" si="10">SUM(F54:Q54)</f>
        <v>240000</v>
      </c>
      <c r="T54" s="1"/>
      <c r="V54" s="22"/>
    </row>
    <row r="55" spans="1:22" x14ac:dyDescent="0.25">
      <c r="A55" s="153">
        <f t="shared" si="1"/>
        <v>48</v>
      </c>
      <c r="B55" s="21" t="s">
        <v>127</v>
      </c>
      <c r="F55" s="22">
        <f>SUM(F51:F54)</f>
        <v>175870.9</v>
      </c>
      <c r="G55" s="22">
        <f t="shared" ref="G55:Q55" si="11">SUM(G51:G54)</f>
        <v>240644.59999999998</v>
      </c>
      <c r="H55" s="22">
        <f t="shared" si="11"/>
        <v>163914.29999999999</v>
      </c>
      <c r="I55" s="22">
        <f t="shared" si="11"/>
        <v>196929.3</v>
      </c>
      <c r="J55" s="22">
        <f t="shared" si="11"/>
        <v>203223.80000000002</v>
      </c>
      <c r="K55" s="22">
        <f t="shared" si="11"/>
        <v>253080.59999999998</v>
      </c>
      <c r="L55" s="22">
        <f t="shared" si="11"/>
        <v>289151.10000000003</v>
      </c>
      <c r="M55" s="22">
        <f t="shared" si="11"/>
        <v>313073.50000000006</v>
      </c>
      <c r="N55" s="22">
        <f t="shared" si="11"/>
        <v>280755.60000000003</v>
      </c>
      <c r="O55" s="22">
        <f t="shared" si="11"/>
        <v>166773.5</v>
      </c>
      <c r="P55" s="22">
        <f t="shared" si="11"/>
        <v>149027.79999999999</v>
      </c>
      <c r="Q55" s="22">
        <f t="shared" si="11"/>
        <v>167837.99999999997</v>
      </c>
      <c r="R55" s="22">
        <f t="shared" si="8"/>
        <v>2600283</v>
      </c>
      <c r="T55" s="1"/>
      <c r="V55" s="22"/>
    </row>
    <row r="56" spans="1:22" x14ac:dyDescent="0.25">
      <c r="A56" s="153">
        <f t="shared" si="1"/>
        <v>49</v>
      </c>
      <c r="T56" s="1"/>
      <c r="V56" s="22"/>
    </row>
    <row r="57" spans="1:22" x14ac:dyDescent="0.25">
      <c r="A57" s="153">
        <f t="shared" si="1"/>
        <v>50</v>
      </c>
      <c r="B57" s="16" t="s">
        <v>752</v>
      </c>
      <c r="C57" s="153"/>
      <c r="F57" s="1"/>
      <c r="G57" s="1"/>
      <c r="H57" s="1"/>
      <c r="I57" s="1"/>
      <c r="J57" s="1"/>
      <c r="K57" s="1"/>
      <c r="L57" s="1"/>
      <c r="M57" s="1"/>
      <c r="N57" s="1"/>
      <c r="O57" s="1"/>
      <c r="P57" s="1"/>
      <c r="Q57" s="1"/>
      <c r="R57" s="1"/>
      <c r="T57" s="1"/>
      <c r="V57" s="13"/>
    </row>
    <row r="58" spans="1:22" x14ac:dyDescent="0.25">
      <c r="A58" s="153">
        <f t="shared" si="1"/>
        <v>51</v>
      </c>
      <c r="C58" s="153" t="s">
        <v>3</v>
      </c>
      <c r="D58" s="21">
        <v>1</v>
      </c>
      <c r="E58" s="153"/>
      <c r="F58" s="20"/>
      <c r="G58" s="20"/>
      <c r="H58" s="20"/>
      <c r="I58" s="20"/>
      <c r="J58" s="20"/>
      <c r="K58" s="20"/>
      <c r="L58" s="20"/>
      <c r="M58" s="20"/>
      <c r="N58" s="20"/>
      <c r="O58" s="20"/>
      <c r="P58" s="20"/>
      <c r="Q58" s="20"/>
      <c r="R58" s="1">
        <f t="shared" ref="R58:R60" si="12">SUM(F58:Q58)</f>
        <v>0</v>
      </c>
      <c r="V58" s="22"/>
    </row>
    <row r="59" spans="1:22" x14ac:dyDescent="0.25">
      <c r="A59" s="153">
        <f t="shared" si="1"/>
        <v>52</v>
      </c>
      <c r="C59" s="153" t="s">
        <v>3</v>
      </c>
      <c r="D59" s="21">
        <v>1</v>
      </c>
      <c r="E59" s="153"/>
      <c r="F59" s="20"/>
      <c r="G59" s="20"/>
      <c r="H59" s="20"/>
      <c r="I59" s="20"/>
      <c r="J59" s="20"/>
      <c r="K59" s="20"/>
      <c r="L59" s="20"/>
      <c r="M59" s="20"/>
      <c r="N59" s="20"/>
      <c r="O59" s="20"/>
      <c r="P59" s="20"/>
      <c r="Q59" s="20"/>
      <c r="R59" s="1">
        <f t="shared" si="12"/>
        <v>0</v>
      </c>
      <c r="V59" s="22"/>
    </row>
    <row r="60" spans="1:22" x14ac:dyDescent="0.25">
      <c r="A60" s="153">
        <f t="shared" si="1"/>
        <v>53</v>
      </c>
      <c r="B60" s="21" t="s">
        <v>0</v>
      </c>
      <c r="F60" s="1">
        <f t="shared" ref="F60:Q60" si="13">SUM(F58:F59)</f>
        <v>0</v>
      </c>
      <c r="G60" s="1">
        <f t="shared" si="13"/>
        <v>0</v>
      </c>
      <c r="H60" s="1">
        <f t="shared" si="13"/>
        <v>0</v>
      </c>
      <c r="I60" s="1">
        <f t="shared" si="13"/>
        <v>0</v>
      </c>
      <c r="J60" s="1">
        <f t="shared" si="13"/>
        <v>0</v>
      </c>
      <c r="K60" s="1">
        <f t="shared" si="13"/>
        <v>0</v>
      </c>
      <c r="L60" s="1">
        <f t="shared" si="13"/>
        <v>0</v>
      </c>
      <c r="M60" s="1">
        <f t="shared" si="13"/>
        <v>0</v>
      </c>
      <c r="N60" s="1">
        <f t="shared" si="13"/>
        <v>0</v>
      </c>
      <c r="O60" s="1">
        <f t="shared" si="13"/>
        <v>0</v>
      </c>
      <c r="P60" s="1">
        <f t="shared" si="13"/>
        <v>0</v>
      </c>
      <c r="Q60" s="1">
        <f t="shared" si="13"/>
        <v>0</v>
      </c>
      <c r="R60" s="1">
        <f t="shared" si="12"/>
        <v>0</v>
      </c>
    </row>
    <row r="61" spans="1:22" x14ac:dyDescent="0.25">
      <c r="A61" s="153">
        <f t="shared" si="1"/>
        <v>54</v>
      </c>
      <c r="B61" s="21" t="s">
        <v>744</v>
      </c>
      <c r="F61" s="22"/>
      <c r="G61" s="22"/>
      <c r="H61" s="22"/>
      <c r="I61" s="22"/>
      <c r="J61" s="22"/>
      <c r="K61" s="22"/>
      <c r="L61" s="22"/>
      <c r="M61" s="22"/>
      <c r="N61" s="22"/>
      <c r="O61" s="22"/>
      <c r="P61" s="22"/>
      <c r="Q61" s="22"/>
      <c r="R61" s="22">
        <f>SUM(F61:Q61)</f>
        <v>0</v>
      </c>
    </row>
    <row r="62" spans="1:22" x14ac:dyDescent="0.25">
      <c r="A62" s="153">
        <f t="shared" si="1"/>
        <v>55</v>
      </c>
      <c r="B62" s="21" t="s">
        <v>127</v>
      </c>
      <c r="F62" s="22">
        <f>SUM(F60:F61)</f>
        <v>0</v>
      </c>
      <c r="G62" s="22">
        <f t="shared" ref="G62:Q62" si="14">SUM(G60:G61)</f>
        <v>0</v>
      </c>
      <c r="H62" s="22">
        <f t="shared" si="14"/>
        <v>0</v>
      </c>
      <c r="I62" s="22">
        <f t="shared" si="14"/>
        <v>0</v>
      </c>
      <c r="J62" s="22">
        <f t="shared" si="14"/>
        <v>0</v>
      </c>
      <c r="K62" s="22">
        <f t="shared" si="14"/>
        <v>0</v>
      </c>
      <c r="L62" s="22">
        <f t="shared" si="14"/>
        <v>0</v>
      </c>
      <c r="M62" s="22">
        <f t="shared" si="14"/>
        <v>0</v>
      </c>
      <c r="N62" s="22">
        <f t="shared" si="14"/>
        <v>0</v>
      </c>
      <c r="O62" s="22">
        <f t="shared" si="14"/>
        <v>0</v>
      </c>
      <c r="P62" s="22">
        <f t="shared" si="14"/>
        <v>0</v>
      </c>
      <c r="Q62" s="22">
        <f t="shared" si="14"/>
        <v>0</v>
      </c>
      <c r="R62" s="22">
        <f t="shared" ref="R62" si="15">SUM(F62:Q62)</f>
        <v>0</v>
      </c>
    </row>
    <row r="63" spans="1:22" x14ac:dyDescent="0.25">
      <c r="A63" s="153">
        <f t="shared" si="1"/>
        <v>56</v>
      </c>
    </row>
    <row r="64" spans="1:22" x14ac:dyDescent="0.25">
      <c r="A64" s="153">
        <f t="shared" si="1"/>
        <v>57</v>
      </c>
      <c r="B64" s="86" t="s">
        <v>780</v>
      </c>
      <c r="F64" s="1">
        <f t="shared" ref="F64:Q64" si="16">+F14+F29+F55+F62</f>
        <v>204656.6</v>
      </c>
      <c r="G64" s="1">
        <f t="shared" si="16"/>
        <v>269513.19999999995</v>
      </c>
      <c r="H64" s="1">
        <f t="shared" si="16"/>
        <v>190703.4</v>
      </c>
      <c r="I64" s="1">
        <f t="shared" si="16"/>
        <v>220763.19999999998</v>
      </c>
      <c r="J64" s="1">
        <f t="shared" si="16"/>
        <v>226932.00000000003</v>
      </c>
      <c r="K64" s="1">
        <f t="shared" si="16"/>
        <v>278832</v>
      </c>
      <c r="L64" s="1">
        <f t="shared" si="16"/>
        <v>315451.90000000002</v>
      </c>
      <c r="M64" s="1">
        <f t="shared" si="16"/>
        <v>339879.90000000008</v>
      </c>
      <c r="N64" s="1">
        <f t="shared" si="16"/>
        <v>308868.30000000005</v>
      </c>
      <c r="O64" s="1">
        <f t="shared" si="16"/>
        <v>191442.8</v>
      </c>
      <c r="P64" s="1">
        <f t="shared" si="16"/>
        <v>172212.3</v>
      </c>
      <c r="Q64" s="1">
        <f t="shared" si="16"/>
        <v>193020.69999999995</v>
      </c>
      <c r="R64" s="22">
        <f>SUM(F64:Q64)</f>
        <v>2912276.3</v>
      </c>
    </row>
    <row r="65" spans="1:1" x14ac:dyDescent="0.25">
      <c r="A65" s="153"/>
    </row>
    <row r="66" spans="1:1" x14ac:dyDescent="0.25">
      <c r="A66" s="153"/>
    </row>
    <row r="67" spans="1:1" x14ac:dyDescent="0.25">
      <c r="A67" s="153"/>
    </row>
    <row r="68" spans="1:1" x14ac:dyDescent="0.25">
      <c r="A68" s="153"/>
    </row>
    <row r="69" spans="1:1" x14ac:dyDescent="0.25">
      <c r="A69" s="153"/>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6"/>
  <sheetViews>
    <sheetView workbookViewId="0">
      <selection activeCell="F10" sqref="F10"/>
    </sheetView>
  </sheetViews>
  <sheetFormatPr defaultColWidth="9.140625" defaultRowHeight="15" x14ac:dyDescent="0.25"/>
  <cols>
    <col min="1" max="5" width="16.7109375" style="21" customWidth="1"/>
    <col min="6" max="6" width="110.7109375" style="21" customWidth="1"/>
    <col min="7" max="7" width="14.7109375" style="21" bestFit="1" customWidth="1"/>
    <col min="8" max="12" width="13.7109375" style="21" customWidth="1"/>
    <col min="13" max="13" width="10.7109375" style="21" customWidth="1"/>
    <col min="14" max="16384" width="9.140625" style="21"/>
  </cols>
  <sheetData>
    <row r="1" spans="1:15" x14ac:dyDescent="0.25">
      <c r="A1" s="175" t="s">
        <v>27</v>
      </c>
      <c r="B1" s="175"/>
      <c r="C1" s="175"/>
      <c r="D1" s="175"/>
      <c r="E1" s="175"/>
      <c r="F1" s="175"/>
      <c r="G1" s="151"/>
      <c r="H1" s="151"/>
      <c r="I1" s="151"/>
      <c r="J1" s="151"/>
      <c r="K1" s="151"/>
      <c r="L1" s="151"/>
    </row>
    <row r="2" spans="1:15" x14ac:dyDescent="0.25">
      <c r="A2" s="175" t="s">
        <v>784</v>
      </c>
      <c r="B2" s="175"/>
      <c r="C2" s="175"/>
      <c r="D2" s="175"/>
      <c r="E2" s="175"/>
      <c r="F2" s="175"/>
      <c r="G2" s="151"/>
      <c r="H2" s="151"/>
      <c r="I2" s="151"/>
      <c r="J2" s="151"/>
      <c r="K2" s="151"/>
      <c r="L2" s="151"/>
    </row>
    <row r="4" spans="1:15" x14ac:dyDescent="0.25">
      <c r="D4" s="151"/>
      <c r="E4" s="151"/>
      <c r="F4" s="151"/>
      <c r="G4" s="151"/>
      <c r="H4" s="151"/>
      <c r="I4" s="151"/>
      <c r="J4" s="151"/>
      <c r="K4" s="151"/>
      <c r="L4" s="151"/>
    </row>
    <row r="5" spans="1:15" x14ac:dyDescent="0.25">
      <c r="A5" s="151" t="s">
        <v>816</v>
      </c>
      <c r="B5" s="151" t="s">
        <v>817</v>
      </c>
      <c r="C5" s="151" t="s">
        <v>818</v>
      </c>
      <c r="D5" s="151" t="s">
        <v>819</v>
      </c>
      <c r="E5" s="151" t="s">
        <v>828</v>
      </c>
      <c r="F5" s="151" t="s">
        <v>785</v>
      </c>
      <c r="H5" s="151"/>
      <c r="I5" s="175"/>
      <c r="J5" s="175"/>
      <c r="K5" s="175"/>
      <c r="L5" s="175"/>
    </row>
    <row r="6" spans="1:15" x14ac:dyDescent="0.25">
      <c r="A6" s="152" t="s">
        <v>821</v>
      </c>
      <c r="B6" s="152" t="s">
        <v>820</v>
      </c>
      <c r="C6" s="152" t="s">
        <v>812</v>
      </c>
      <c r="D6" s="152" t="s">
        <v>180</v>
      </c>
      <c r="E6" s="152" t="s">
        <v>180</v>
      </c>
      <c r="F6" s="152" t="s">
        <v>813</v>
      </c>
      <c r="H6" s="152"/>
      <c r="I6" s="176"/>
      <c r="J6" s="176"/>
      <c r="K6" s="176"/>
      <c r="L6" s="176"/>
    </row>
    <row r="7" spans="1:15" ht="60" x14ac:dyDescent="0.25">
      <c r="A7" s="116" t="s">
        <v>786</v>
      </c>
      <c r="B7" s="116" t="s">
        <v>787</v>
      </c>
      <c r="C7" s="116" t="s">
        <v>786</v>
      </c>
      <c r="D7" s="116" t="s">
        <v>787</v>
      </c>
      <c r="E7" s="137">
        <v>42845</v>
      </c>
      <c r="F7" s="115" t="s">
        <v>815</v>
      </c>
      <c r="G7" s="151"/>
      <c r="H7" s="151"/>
      <c r="I7" s="151"/>
      <c r="J7" s="151"/>
      <c r="K7" s="151"/>
      <c r="L7" s="151"/>
    </row>
    <row r="8" spans="1:15" ht="105" x14ac:dyDescent="0.25">
      <c r="A8" s="116" t="s">
        <v>788</v>
      </c>
      <c r="B8" s="116" t="s">
        <v>799</v>
      </c>
      <c r="C8" s="116" t="s">
        <v>790</v>
      </c>
      <c r="D8" s="116" t="s">
        <v>799</v>
      </c>
      <c r="E8" s="137">
        <v>42845</v>
      </c>
      <c r="F8" s="115" t="s">
        <v>829</v>
      </c>
      <c r="G8" s="151"/>
      <c r="H8" s="151"/>
      <c r="I8" s="151"/>
      <c r="J8" s="151"/>
      <c r="K8" s="151"/>
      <c r="L8" s="151"/>
    </row>
    <row r="9" spans="1:15" ht="105" x14ac:dyDescent="0.25">
      <c r="A9" s="116" t="s">
        <v>789</v>
      </c>
      <c r="B9" s="116" t="s">
        <v>800</v>
      </c>
      <c r="C9" s="117" t="s">
        <v>790</v>
      </c>
      <c r="D9" s="116" t="s">
        <v>799</v>
      </c>
      <c r="E9" s="137">
        <v>42845</v>
      </c>
      <c r="F9" s="115" t="s">
        <v>829</v>
      </c>
      <c r="G9" s="152"/>
      <c r="H9" s="152"/>
      <c r="I9" s="152"/>
      <c r="J9" s="152"/>
      <c r="K9" s="152"/>
      <c r="L9" s="152"/>
    </row>
    <row r="10" spans="1:15" ht="135" x14ac:dyDescent="0.25">
      <c r="A10" s="116" t="s">
        <v>791</v>
      </c>
      <c r="B10" s="116" t="s">
        <v>801</v>
      </c>
      <c r="C10" s="116" t="s">
        <v>792</v>
      </c>
      <c r="D10" s="116" t="s">
        <v>800</v>
      </c>
      <c r="E10" s="137">
        <v>42845</v>
      </c>
      <c r="F10" s="115" t="s">
        <v>830</v>
      </c>
    </row>
    <row r="11" spans="1:15" ht="135" x14ac:dyDescent="0.25">
      <c r="A11" s="116" t="s">
        <v>793</v>
      </c>
      <c r="B11" s="116" t="s">
        <v>802</v>
      </c>
      <c r="C11" s="116" t="s">
        <v>792</v>
      </c>
      <c r="D11" s="116" t="s">
        <v>800</v>
      </c>
      <c r="E11" s="137">
        <v>42845</v>
      </c>
      <c r="F11" s="115" t="s">
        <v>830</v>
      </c>
      <c r="G11" s="1"/>
      <c r="H11" s="1"/>
      <c r="I11" s="1"/>
      <c r="J11" s="1"/>
      <c r="K11" s="1"/>
      <c r="L11" s="1"/>
      <c r="M11" s="1"/>
    </row>
    <row r="12" spans="1:15" ht="45" x14ac:dyDescent="0.25">
      <c r="A12" s="116" t="s">
        <v>140</v>
      </c>
      <c r="B12" s="116" t="s">
        <v>803</v>
      </c>
      <c r="C12" s="116" t="s">
        <v>140</v>
      </c>
      <c r="D12" s="116" t="s">
        <v>801</v>
      </c>
      <c r="E12" s="137">
        <v>42845</v>
      </c>
      <c r="F12" s="115" t="s">
        <v>832</v>
      </c>
      <c r="G12" s="1"/>
      <c r="H12" s="1"/>
      <c r="I12" s="1"/>
      <c r="J12" s="1"/>
      <c r="K12" s="1"/>
      <c r="L12" s="1"/>
      <c r="N12" s="34"/>
      <c r="O12" s="34"/>
    </row>
    <row r="13" spans="1:15" ht="30" x14ac:dyDescent="0.25">
      <c r="A13" s="116" t="s">
        <v>794</v>
      </c>
      <c r="B13" s="116" t="s">
        <v>804</v>
      </c>
      <c r="C13" s="116" t="s">
        <v>794</v>
      </c>
      <c r="D13" s="116" t="s">
        <v>802</v>
      </c>
      <c r="E13" s="137">
        <v>42845</v>
      </c>
      <c r="F13" s="115" t="s">
        <v>831</v>
      </c>
      <c r="G13" s="1"/>
      <c r="H13" s="1"/>
      <c r="I13" s="1"/>
      <c r="J13" s="1"/>
      <c r="K13" s="1"/>
      <c r="L13" s="1"/>
    </row>
    <row r="14" spans="1:15" ht="20.100000000000001" customHeight="1" x14ac:dyDescent="0.25">
      <c r="A14" s="116" t="s">
        <v>16</v>
      </c>
      <c r="B14" s="116" t="s">
        <v>805</v>
      </c>
      <c r="C14" s="116" t="s">
        <v>810</v>
      </c>
      <c r="D14" s="116" t="s">
        <v>810</v>
      </c>
      <c r="E14" s="137">
        <v>42845</v>
      </c>
      <c r="F14" s="115" t="s">
        <v>811</v>
      </c>
      <c r="G14" s="1"/>
      <c r="H14" s="1"/>
      <c r="I14" s="1"/>
      <c r="J14" s="1"/>
      <c r="K14" s="1"/>
      <c r="L14" s="1"/>
    </row>
    <row r="15" spans="1:15" ht="30" x14ac:dyDescent="0.25">
      <c r="A15" s="116" t="s">
        <v>795</v>
      </c>
      <c r="B15" s="116" t="s">
        <v>806</v>
      </c>
      <c r="C15" s="116" t="s">
        <v>795</v>
      </c>
      <c r="D15" s="116" t="s">
        <v>803</v>
      </c>
      <c r="E15" s="137">
        <v>42845</v>
      </c>
      <c r="F15" s="115" t="s">
        <v>826</v>
      </c>
      <c r="G15" s="1"/>
      <c r="H15" s="1"/>
      <c r="I15" s="1"/>
      <c r="J15" s="1"/>
      <c r="K15" s="1"/>
      <c r="L15" s="1"/>
    </row>
    <row r="16" spans="1:15" ht="20.100000000000001" customHeight="1" x14ac:dyDescent="0.25">
      <c r="A16" s="116" t="s">
        <v>796</v>
      </c>
      <c r="B16" s="116" t="s">
        <v>807</v>
      </c>
      <c r="C16" s="116" t="s">
        <v>796</v>
      </c>
      <c r="D16" s="116" t="s">
        <v>804</v>
      </c>
      <c r="E16" s="137">
        <v>42845</v>
      </c>
      <c r="F16" s="115" t="s">
        <v>814</v>
      </c>
      <c r="G16" s="1"/>
      <c r="H16" s="1"/>
      <c r="I16" s="1"/>
      <c r="J16" s="1"/>
      <c r="K16" s="1"/>
      <c r="L16" s="1"/>
    </row>
    <row r="17" spans="1:12" ht="20.100000000000001" customHeight="1" x14ac:dyDescent="0.25">
      <c r="A17" s="116" t="s">
        <v>797</v>
      </c>
      <c r="B17" s="116" t="s">
        <v>808</v>
      </c>
      <c r="C17" s="116" t="s">
        <v>797</v>
      </c>
      <c r="D17" s="116" t="s">
        <v>805</v>
      </c>
      <c r="E17" s="137">
        <v>42845</v>
      </c>
      <c r="F17" s="114" t="s">
        <v>822</v>
      </c>
      <c r="G17" s="1"/>
      <c r="H17" s="1"/>
      <c r="I17" s="1"/>
      <c r="J17" s="1"/>
      <c r="K17" s="1"/>
      <c r="L17" s="1"/>
    </row>
    <row r="18" spans="1:12" ht="20.100000000000001" customHeight="1" x14ac:dyDescent="0.25">
      <c r="A18" s="116" t="s">
        <v>1</v>
      </c>
      <c r="B18" s="116" t="s">
        <v>809</v>
      </c>
      <c r="C18" s="116" t="s">
        <v>1</v>
      </c>
      <c r="D18" s="116" t="s">
        <v>806</v>
      </c>
      <c r="E18" s="137">
        <v>42845</v>
      </c>
      <c r="F18" s="115" t="s">
        <v>814</v>
      </c>
      <c r="G18" s="1"/>
      <c r="H18" s="1"/>
      <c r="I18" s="1"/>
      <c r="J18" s="1"/>
      <c r="K18" s="1"/>
      <c r="L18" s="1"/>
    </row>
    <row r="19" spans="1:12" ht="45" x14ac:dyDescent="0.25">
      <c r="A19" s="116" t="s">
        <v>810</v>
      </c>
      <c r="B19" s="116" t="s">
        <v>810</v>
      </c>
      <c r="C19" s="116" t="s">
        <v>798</v>
      </c>
      <c r="D19" s="116" t="s">
        <v>807</v>
      </c>
      <c r="E19" s="137">
        <v>42845</v>
      </c>
      <c r="F19" s="115" t="s">
        <v>827</v>
      </c>
      <c r="G19" s="1"/>
      <c r="H19" s="1"/>
      <c r="I19" s="1"/>
      <c r="J19" s="1"/>
      <c r="K19" s="1"/>
      <c r="L19" s="1"/>
    </row>
    <row r="20" spans="1:12" x14ac:dyDescent="0.25">
      <c r="A20" s="116"/>
      <c r="B20" s="116"/>
      <c r="C20" s="116"/>
      <c r="D20" s="116"/>
      <c r="E20" s="137"/>
      <c r="F20" s="115"/>
      <c r="G20" s="1"/>
      <c r="H20" s="1"/>
      <c r="I20" s="1"/>
      <c r="J20" s="1"/>
      <c r="K20" s="1"/>
      <c r="L20" s="1"/>
    </row>
    <row r="21" spans="1:12" x14ac:dyDescent="0.25">
      <c r="A21" s="116"/>
      <c r="B21" s="116"/>
      <c r="C21" s="116" t="s">
        <v>790</v>
      </c>
      <c r="D21" s="116" t="s">
        <v>799</v>
      </c>
      <c r="E21" s="137">
        <v>42912</v>
      </c>
      <c r="F21" s="115" t="s">
        <v>851</v>
      </c>
      <c r="G21" s="1"/>
      <c r="H21" s="1"/>
      <c r="I21" s="1"/>
      <c r="J21" s="1"/>
      <c r="K21" s="1"/>
      <c r="L21" s="1"/>
    </row>
    <row r="22" spans="1:12" ht="45" x14ac:dyDescent="0.25">
      <c r="A22" s="116"/>
      <c r="B22" s="116"/>
      <c r="C22" s="116" t="s">
        <v>852</v>
      </c>
      <c r="D22" s="116" t="s">
        <v>800</v>
      </c>
      <c r="E22" s="137">
        <v>42912</v>
      </c>
      <c r="F22" s="115" t="s">
        <v>853</v>
      </c>
      <c r="G22" s="1"/>
      <c r="H22" s="1"/>
      <c r="I22" s="1"/>
      <c r="J22" s="1"/>
      <c r="K22" s="1"/>
      <c r="L22" s="1"/>
    </row>
    <row r="23" spans="1:12" ht="30" x14ac:dyDescent="0.25">
      <c r="A23" s="116"/>
      <c r="B23" s="116"/>
      <c r="C23" s="116" t="s">
        <v>852</v>
      </c>
      <c r="D23" s="116" t="s">
        <v>800</v>
      </c>
      <c r="E23" s="137">
        <v>42912</v>
      </c>
      <c r="F23" s="115" t="s">
        <v>854</v>
      </c>
      <c r="G23" s="1"/>
      <c r="H23" s="1"/>
      <c r="I23" s="1"/>
      <c r="J23" s="1"/>
      <c r="K23" s="1"/>
      <c r="L23" s="1"/>
    </row>
    <row r="24" spans="1:12" ht="30" x14ac:dyDescent="0.25">
      <c r="A24" s="116"/>
      <c r="B24" s="116"/>
      <c r="C24" s="116" t="s">
        <v>140</v>
      </c>
      <c r="D24" s="116" t="s">
        <v>801</v>
      </c>
      <c r="E24" s="137">
        <v>42912</v>
      </c>
      <c r="F24" s="115" t="s">
        <v>855</v>
      </c>
      <c r="G24" s="1"/>
      <c r="H24" s="1"/>
      <c r="I24" s="1"/>
      <c r="J24" s="1"/>
      <c r="K24" s="1"/>
      <c r="L24" s="1"/>
    </row>
    <row r="25" spans="1:12" x14ac:dyDescent="0.25">
      <c r="A25" s="116"/>
      <c r="B25" s="116"/>
      <c r="C25" s="116"/>
      <c r="D25" s="116"/>
      <c r="E25" s="137"/>
      <c r="F25" s="115"/>
      <c r="H25" s="22"/>
      <c r="I25" s="22"/>
      <c r="J25" s="22"/>
      <c r="K25" s="22"/>
      <c r="L25" s="22"/>
    </row>
    <row r="26" spans="1:12" x14ac:dyDescent="0.25">
      <c r="A26" s="116"/>
      <c r="B26" s="116"/>
      <c r="C26" s="116"/>
      <c r="D26" s="116"/>
      <c r="E26" s="137"/>
      <c r="F26" s="115"/>
      <c r="H26" s="22"/>
      <c r="I26" s="22"/>
      <c r="J26" s="22"/>
      <c r="K26" s="22"/>
      <c r="L26" s="22"/>
    </row>
    <row r="27" spans="1:12" x14ac:dyDescent="0.25">
      <c r="A27" s="116"/>
      <c r="B27" s="116"/>
      <c r="C27" s="116"/>
      <c r="D27" s="116"/>
      <c r="E27" s="137"/>
      <c r="F27" s="115"/>
    </row>
    <row r="28" spans="1:12" x14ac:dyDescent="0.25">
      <c r="A28" s="116"/>
      <c r="B28" s="116"/>
      <c r="C28" s="116"/>
      <c r="D28" s="116"/>
      <c r="E28" s="137"/>
      <c r="F28" s="115"/>
      <c r="H28" s="1"/>
      <c r="I28" s="1"/>
      <c r="J28" s="1"/>
      <c r="K28" s="1"/>
      <c r="L28" s="1"/>
    </row>
    <row r="29" spans="1:12" x14ac:dyDescent="0.25">
      <c r="A29" s="116"/>
      <c r="B29" s="116"/>
      <c r="C29" s="116"/>
      <c r="D29" s="116"/>
      <c r="E29" s="137"/>
      <c r="F29" s="115"/>
      <c r="H29" s="1"/>
      <c r="I29" s="1"/>
      <c r="J29" s="1"/>
      <c r="K29" s="1"/>
      <c r="L29" s="1"/>
    </row>
    <row r="30" spans="1:12" x14ac:dyDescent="0.25">
      <c r="A30" s="116"/>
      <c r="B30" s="116"/>
      <c r="C30" s="116"/>
      <c r="D30" s="116"/>
      <c r="E30" s="137"/>
      <c r="F30" s="115"/>
      <c r="H30" s="1"/>
      <c r="I30" s="1"/>
      <c r="J30" s="1"/>
      <c r="K30" s="1"/>
      <c r="L30" s="1"/>
    </row>
    <row r="31" spans="1:12" x14ac:dyDescent="0.25">
      <c r="A31" s="116"/>
      <c r="B31" s="116"/>
      <c r="C31" s="116"/>
      <c r="D31" s="116"/>
      <c r="E31" s="137"/>
      <c r="F31" s="115"/>
      <c r="H31" s="1"/>
      <c r="I31" s="1"/>
      <c r="J31" s="1"/>
      <c r="K31" s="1"/>
      <c r="L31" s="1"/>
    </row>
    <row r="32" spans="1:12" x14ac:dyDescent="0.25">
      <c r="A32" s="116"/>
      <c r="B32" s="116"/>
      <c r="C32" s="116"/>
      <c r="D32" s="116"/>
      <c r="E32" s="137"/>
      <c r="F32" s="115"/>
      <c r="H32" s="18"/>
      <c r="I32" s="18"/>
      <c r="J32" s="18"/>
      <c r="K32" s="18"/>
      <c r="L32" s="18"/>
    </row>
    <row r="33" spans="1:12" x14ac:dyDescent="0.25">
      <c r="A33" s="116"/>
      <c r="B33" s="116"/>
      <c r="C33" s="116"/>
      <c r="D33" s="116"/>
      <c r="E33" s="137"/>
      <c r="F33" s="115"/>
      <c r="H33" s="18"/>
      <c r="I33" s="18"/>
      <c r="J33" s="18"/>
      <c r="K33" s="18"/>
      <c r="L33" s="18"/>
    </row>
    <row r="34" spans="1:12" x14ac:dyDescent="0.25">
      <c r="A34" s="116"/>
      <c r="B34" s="116"/>
      <c r="C34" s="116"/>
      <c r="D34" s="116"/>
      <c r="E34" s="137"/>
      <c r="F34" s="115"/>
      <c r="H34" s="80"/>
      <c r="I34" s="80"/>
      <c r="J34" s="80"/>
      <c r="K34" s="80"/>
      <c r="L34" s="80"/>
    </row>
    <row r="35" spans="1:12" x14ac:dyDescent="0.25">
      <c r="A35" s="116"/>
      <c r="B35" s="116"/>
      <c r="C35" s="116"/>
      <c r="D35" s="116"/>
      <c r="E35" s="137"/>
      <c r="F35" s="115"/>
      <c r="H35" s="80"/>
      <c r="I35" s="80"/>
      <c r="J35" s="80"/>
      <c r="K35" s="80"/>
      <c r="L35" s="80"/>
    </row>
    <row r="36" spans="1:12" x14ac:dyDescent="0.25">
      <c r="A36" s="116"/>
      <c r="B36" s="116"/>
      <c r="C36" s="116"/>
      <c r="D36" s="116"/>
      <c r="E36" s="137"/>
      <c r="F36" s="115"/>
      <c r="H36" s="80"/>
      <c r="I36" s="80"/>
      <c r="J36" s="80"/>
      <c r="K36" s="80"/>
      <c r="L36" s="80"/>
    </row>
    <row r="37" spans="1:12" x14ac:dyDescent="0.25">
      <c r="A37" s="116"/>
      <c r="B37" s="116"/>
      <c r="C37" s="116"/>
      <c r="D37" s="116"/>
      <c r="E37" s="137"/>
      <c r="F37" s="115"/>
    </row>
    <row r="38" spans="1:12" x14ac:dyDescent="0.25">
      <c r="A38" s="116"/>
      <c r="B38" s="116"/>
      <c r="C38" s="116"/>
      <c r="D38" s="116"/>
      <c r="E38" s="137"/>
      <c r="F38" s="115"/>
    </row>
    <row r="39" spans="1:12" x14ac:dyDescent="0.25">
      <c r="A39" s="116"/>
      <c r="B39" s="116"/>
      <c r="C39" s="116"/>
      <c r="D39" s="116"/>
      <c r="E39" s="137"/>
      <c r="F39" s="115"/>
      <c r="G39" s="1"/>
      <c r="H39" s="1"/>
      <c r="I39" s="1"/>
      <c r="J39" s="1"/>
      <c r="K39" s="18"/>
      <c r="L39" s="1"/>
    </row>
    <row r="40" spans="1:12" x14ac:dyDescent="0.25">
      <c r="A40" s="116"/>
      <c r="B40" s="116"/>
      <c r="C40" s="116"/>
      <c r="D40" s="116"/>
      <c r="E40" s="137"/>
      <c r="F40" s="115"/>
      <c r="G40" s="1"/>
      <c r="H40" s="1"/>
      <c r="I40" s="1"/>
      <c r="J40" s="1"/>
      <c r="K40" s="18"/>
      <c r="L40" s="1"/>
    </row>
    <row r="41" spans="1:12" x14ac:dyDescent="0.25">
      <c r="G41" s="22"/>
      <c r="H41" s="22"/>
      <c r="I41" s="22"/>
      <c r="J41" s="22"/>
      <c r="K41" s="80"/>
      <c r="L41" s="22"/>
    </row>
    <row r="42" spans="1:12" x14ac:dyDescent="0.25">
      <c r="K42" s="80"/>
    </row>
    <row r="43" spans="1:12" x14ac:dyDescent="0.25">
      <c r="K43" s="80"/>
    </row>
    <row r="44" spans="1:12" x14ac:dyDescent="0.25">
      <c r="G44" s="1"/>
      <c r="H44" s="1"/>
      <c r="I44" s="1"/>
      <c r="J44" s="1"/>
      <c r="K44" s="1"/>
      <c r="L44" s="1"/>
    </row>
    <row r="45" spans="1:12" x14ac:dyDescent="0.25">
      <c r="G45" s="1"/>
      <c r="H45" s="1"/>
      <c r="I45" s="1"/>
      <c r="J45" s="1"/>
      <c r="K45" s="1"/>
      <c r="L45" s="1"/>
    </row>
    <row r="46" spans="1:12" x14ac:dyDescent="0.25">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dimension ref="A1:R27"/>
  <sheetViews>
    <sheetView workbookViewId="0">
      <selection activeCell="D27" sqref="D27"/>
    </sheetView>
  </sheetViews>
  <sheetFormatPr defaultRowHeight="15" x14ac:dyDescent="0.25"/>
  <cols>
    <col min="2" max="2" width="13.7109375" customWidth="1"/>
    <col min="3" max="3" width="16.85546875" bestFit="1" customWidth="1"/>
    <col min="4" max="4" width="17.5703125" bestFit="1" customWidth="1"/>
  </cols>
  <sheetData>
    <row r="1" spans="1:18" x14ac:dyDescent="0.25">
      <c r="B1" s="175" t="s">
        <v>27</v>
      </c>
      <c r="C1" s="175"/>
      <c r="D1" s="175"/>
      <c r="E1" s="175"/>
      <c r="F1" s="168"/>
      <c r="G1" s="168"/>
      <c r="H1" s="168"/>
      <c r="I1" s="168"/>
      <c r="J1" s="168"/>
      <c r="K1" s="168"/>
      <c r="L1" s="168"/>
      <c r="M1" s="168"/>
      <c r="N1" s="168"/>
      <c r="O1" s="168"/>
      <c r="P1" s="168"/>
      <c r="Q1" s="168"/>
      <c r="R1" s="168"/>
    </row>
    <row r="2" spans="1:18" x14ac:dyDescent="0.25">
      <c r="B2" s="175" t="s">
        <v>856</v>
      </c>
      <c r="C2" s="175"/>
      <c r="D2" s="175"/>
      <c r="E2" s="175"/>
      <c r="F2" s="168"/>
      <c r="G2" s="168"/>
      <c r="H2" s="168"/>
      <c r="I2" s="168"/>
      <c r="J2" s="168"/>
      <c r="K2" s="168"/>
      <c r="L2" s="168"/>
      <c r="M2" s="168"/>
      <c r="N2" s="168"/>
      <c r="O2" s="168"/>
      <c r="P2" s="168"/>
      <c r="Q2" s="168"/>
      <c r="R2" s="168"/>
    </row>
    <row r="3" spans="1:18" x14ac:dyDescent="0.25">
      <c r="B3" s="21"/>
      <c r="C3" s="21"/>
      <c r="D3" s="21"/>
      <c r="E3" s="21"/>
      <c r="F3" s="21"/>
      <c r="G3" s="21"/>
      <c r="H3" s="21"/>
      <c r="I3" s="21"/>
      <c r="J3" s="21"/>
      <c r="K3" s="21"/>
      <c r="L3" s="21"/>
      <c r="M3" s="21"/>
      <c r="N3" s="21"/>
      <c r="O3" s="21"/>
      <c r="P3" s="21"/>
      <c r="Q3" s="21"/>
      <c r="R3" s="21"/>
    </row>
    <row r="4" spans="1:18" x14ac:dyDescent="0.25">
      <c r="B4" s="14" t="s">
        <v>835</v>
      </c>
      <c r="C4" s="21"/>
      <c r="D4" s="21"/>
      <c r="E4" s="21"/>
      <c r="F4" s="21"/>
      <c r="G4" s="21"/>
      <c r="H4" s="21"/>
      <c r="I4" s="21"/>
      <c r="J4" s="21"/>
      <c r="K4" s="21"/>
      <c r="L4" s="21"/>
      <c r="M4" s="21"/>
      <c r="N4" s="21"/>
      <c r="O4" s="21"/>
      <c r="P4" s="21"/>
      <c r="Q4" s="21"/>
      <c r="R4" s="21"/>
    </row>
    <row r="6" spans="1:18" x14ac:dyDescent="0.25">
      <c r="C6" s="42" t="s">
        <v>508</v>
      </c>
      <c r="D6" s="42" t="s">
        <v>509</v>
      </c>
      <c r="E6" s="42"/>
      <c r="F6" s="42"/>
    </row>
    <row r="7" spans="1:18" x14ac:dyDescent="0.25">
      <c r="C7" s="42">
        <v>407.3</v>
      </c>
      <c r="D7" s="42">
        <v>407.4</v>
      </c>
      <c r="E7" s="42"/>
      <c r="F7" s="42"/>
    </row>
    <row r="8" spans="1:18" x14ac:dyDescent="0.25">
      <c r="C8" s="101" t="s">
        <v>857</v>
      </c>
      <c r="D8" s="101" t="s">
        <v>858</v>
      </c>
      <c r="E8" s="101"/>
      <c r="F8" s="101"/>
    </row>
    <row r="9" spans="1:18" x14ac:dyDescent="0.25">
      <c r="C9" s="103" t="s">
        <v>145</v>
      </c>
      <c r="D9" s="103" t="s">
        <v>145</v>
      </c>
      <c r="E9" s="103"/>
      <c r="F9" s="103"/>
    </row>
    <row r="10" spans="1:18" x14ac:dyDescent="0.25">
      <c r="A10" s="163">
        <v>1</v>
      </c>
      <c r="B10" s="59" t="s">
        <v>169</v>
      </c>
      <c r="C10" s="166">
        <v>0</v>
      </c>
      <c r="D10" s="166">
        <v>0</v>
      </c>
    </row>
    <row r="11" spans="1:18" x14ac:dyDescent="0.25">
      <c r="A11" s="163">
        <f>A10+1</f>
        <v>2</v>
      </c>
      <c r="B11" s="59" t="s">
        <v>22</v>
      </c>
      <c r="C11" s="170">
        <v>42922.559999999998</v>
      </c>
      <c r="D11" s="166"/>
    </row>
    <row r="12" spans="1:18" x14ac:dyDescent="0.25">
      <c r="A12" s="163">
        <f t="shared" ref="A12:A27" si="0">A11+1</f>
        <v>3</v>
      </c>
      <c r="B12" s="59" t="s">
        <v>21</v>
      </c>
      <c r="C12" s="170">
        <v>25038.240000000002</v>
      </c>
      <c r="D12" s="166"/>
    </row>
    <row r="13" spans="1:18" x14ac:dyDescent="0.25">
      <c r="A13" s="163">
        <f t="shared" si="0"/>
        <v>4</v>
      </c>
      <c r="B13" s="59" t="s">
        <v>20</v>
      </c>
      <c r="C13" s="170">
        <v>23628.720000000001</v>
      </c>
      <c r="D13" s="166"/>
    </row>
    <row r="14" spans="1:18" x14ac:dyDescent="0.25">
      <c r="A14" s="163">
        <f t="shared" si="0"/>
        <v>5</v>
      </c>
      <c r="B14" s="59" t="s">
        <v>170</v>
      </c>
      <c r="C14" s="170"/>
      <c r="D14" s="166"/>
    </row>
    <row r="15" spans="1:18" x14ac:dyDescent="0.25">
      <c r="A15" s="163">
        <f t="shared" si="0"/>
        <v>6</v>
      </c>
      <c r="B15" s="59" t="s">
        <v>19</v>
      </c>
      <c r="C15" s="170">
        <v>21281.040000000001</v>
      </c>
      <c r="D15" s="166"/>
    </row>
    <row r="16" spans="1:18" x14ac:dyDescent="0.25">
      <c r="A16" s="163">
        <f t="shared" si="0"/>
        <v>7</v>
      </c>
      <c r="B16" s="59" t="s">
        <v>235</v>
      </c>
      <c r="C16" s="166"/>
      <c r="D16" s="166"/>
    </row>
    <row r="17" spans="1:4" x14ac:dyDescent="0.25">
      <c r="A17" s="163">
        <f t="shared" si="0"/>
        <v>8</v>
      </c>
      <c r="B17" s="59" t="s">
        <v>516</v>
      </c>
      <c r="C17" s="166"/>
      <c r="D17" s="166"/>
    </row>
    <row r="18" spans="1:4" x14ac:dyDescent="0.25">
      <c r="A18" s="163">
        <f t="shared" si="0"/>
        <v>9</v>
      </c>
      <c r="B18" s="59" t="s">
        <v>521</v>
      </c>
      <c r="C18" s="166"/>
      <c r="D18" s="166"/>
    </row>
    <row r="19" spans="1:4" x14ac:dyDescent="0.25">
      <c r="A19" s="163">
        <f t="shared" si="0"/>
        <v>10</v>
      </c>
      <c r="B19" s="59" t="s">
        <v>517</v>
      </c>
      <c r="C19" s="166"/>
      <c r="D19" s="166"/>
    </row>
    <row r="20" spans="1:4" x14ac:dyDescent="0.25">
      <c r="A20" s="163">
        <f t="shared" si="0"/>
        <v>11</v>
      </c>
      <c r="B20" s="59" t="s">
        <v>518</v>
      </c>
      <c r="C20" s="166"/>
      <c r="D20" s="166"/>
    </row>
    <row r="21" spans="1:4" x14ac:dyDescent="0.25">
      <c r="A21" s="163">
        <f t="shared" si="0"/>
        <v>12</v>
      </c>
      <c r="B21" s="59" t="s">
        <v>36</v>
      </c>
      <c r="C21" s="166"/>
      <c r="D21" s="166">
        <v>-28453.08</v>
      </c>
    </row>
    <row r="22" spans="1:4" x14ac:dyDescent="0.25">
      <c r="A22" s="163">
        <f t="shared" si="0"/>
        <v>13</v>
      </c>
      <c r="B22" s="59" t="s">
        <v>519</v>
      </c>
      <c r="C22" s="166"/>
      <c r="D22" s="166"/>
    </row>
    <row r="23" spans="1:4" x14ac:dyDescent="0.25">
      <c r="A23" s="163">
        <f t="shared" si="0"/>
        <v>14</v>
      </c>
      <c r="B23" s="59" t="s">
        <v>171</v>
      </c>
      <c r="C23" s="166"/>
      <c r="D23" s="166"/>
    </row>
    <row r="24" spans="1:4" x14ac:dyDescent="0.25">
      <c r="A24" s="163">
        <f t="shared" si="0"/>
        <v>15</v>
      </c>
      <c r="B24" s="59" t="s">
        <v>506</v>
      </c>
      <c r="C24" s="166">
        <v>7081.2</v>
      </c>
      <c r="D24" s="166"/>
    </row>
    <row r="25" spans="1:4" x14ac:dyDescent="0.25">
      <c r="A25" s="163">
        <f t="shared" si="0"/>
        <v>16</v>
      </c>
      <c r="B25" s="59" t="s">
        <v>520</v>
      </c>
      <c r="C25" s="166">
        <v>0</v>
      </c>
      <c r="D25" s="166">
        <v>0</v>
      </c>
    </row>
    <row r="26" spans="1:4" x14ac:dyDescent="0.25">
      <c r="A26" s="163">
        <f t="shared" si="0"/>
        <v>17</v>
      </c>
      <c r="B26" s="127" t="s">
        <v>752</v>
      </c>
      <c r="C26" s="167">
        <v>0</v>
      </c>
      <c r="D26" s="167">
        <v>0</v>
      </c>
    </row>
    <row r="27" spans="1:4" x14ac:dyDescent="0.25">
      <c r="A27" s="163">
        <f t="shared" si="0"/>
        <v>18</v>
      </c>
      <c r="B27" s="59" t="s">
        <v>0</v>
      </c>
      <c r="C27" s="165">
        <f>SUM(C10:C26)</f>
        <v>119951.76</v>
      </c>
      <c r="D27" s="165">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0"/>
  <sheetViews>
    <sheetView workbookViewId="0">
      <selection activeCell="D5" sqref="D5"/>
    </sheetView>
  </sheetViews>
  <sheetFormatPr defaultColWidth="9.140625" defaultRowHeight="15" x14ac:dyDescent="0.25"/>
  <cols>
    <col min="1" max="1" width="4.42578125" style="21" customWidth="1"/>
    <col min="2" max="2" width="29.85546875" style="21" bestFit="1" customWidth="1"/>
    <col min="3" max="3" width="33.42578125" style="21" customWidth="1"/>
    <col min="4" max="4" width="11.42578125" style="21" bestFit="1" customWidth="1"/>
    <col min="5" max="5" width="14.7109375" style="21" bestFit="1" customWidth="1"/>
    <col min="6" max="6" width="3.85546875" style="21" customWidth="1"/>
    <col min="7" max="7" width="14.7109375" style="21" bestFit="1" customWidth="1"/>
    <col min="8" max="12" width="13.7109375" style="21" customWidth="1"/>
    <col min="13" max="13" width="10.7109375" style="21" customWidth="1"/>
    <col min="14" max="14" width="10.5703125" style="21" bestFit="1" customWidth="1"/>
    <col min="15" max="16384" width="9.140625" style="21"/>
  </cols>
  <sheetData>
    <row r="1" spans="1:15" x14ac:dyDescent="0.25">
      <c r="B1" s="175" t="s">
        <v>27</v>
      </c>
      <c r="C1" s="175"/>
      <c r="D1" s="175"/>
      <c r="E1" s="175"/>
      <c r="F1" s="175"/>
      <c r="G1" s="175"/>
      <c r="H1" s="175"/>
      <c r="I1" s="175"/>
      <c r="J1" s="175"/>
      <c r="K1" s="175"/>
      <c r="L1" s="95"/>
    </row>
    <row r="2" spans="1:15" x14ac:dyDescent="0.25">
      <c r="B2" s="175" t="s">
        <v>153</v>
      </c>
      <c r="C2" s="175"/>
      <c r="D2" s="175"/>
      <c r="E2" s="175"/>
      <c r="F2" s="175"/>
      <c r="G2" s="175"/>
      <c r="H2" s="175"/>
      <c r="I2" s="175"/>
      <c r="J2" s="175"/>
      <c r="K2" s="175"/>
      <c r="L2" s="95"/>
    </row>
    <row r="4" spans="1:15" x14ac:dyDescent="0.25">
      <c r="E4" s="77" t="s">
        <v>508</v>
      </c>
      <c r="F4" s="77"/>
      <c r="G4" s="77" t="s">
        <v>509</v>
      </c>
      <c r="H4" s="77" t="s">
        <v>510</v>
      </c>
      <c r="I4" s="77" t="s">
        <v>511</v>
      </c>
      <c r="J4" s="77" t="s">
        <v>512</v>
      </c>
      <c r="K4" s="77" t="s">
        <v>513</v>
      </c>
      <c r="L4" s="95" t="s">
        <v>514</v>
      </c>
    </row>
    <row r="5" spans="1:15" x14ac:dyDescent="0.25">
      <c r="H5" s="77"/>
      <c r="I5" s="175" t="s">
        <v>152</v>
      </c>
      <c r="J5" s="175"/>
      <c r="K5" s="175"/>
      <c r="L5" s="175"/>
    </row>
    <row r="6" spans="1:15" x14ac:dyDescent="0.25">
      <c r="H6" s="15"/>
      <c r="I6" s="176" t="s">
        <v>774</v>
      </c>
      <c r="J6" s="176"/>
      <c r="K6" s="176"/>
      <c r="L6" s="176"/>
    </row>
    <row r="7" spans="1:15" x14ac:dyDescent="0.25">
      <c r="E7" s="77" t="s">
        <v>0</v>
      </c>
      <c r="F7" s="77"/>
      <c r="G7" s="77"/>
      <c r="H7" s="77" t="s">
        <v>0</v>
      </c>
      <c r="I7" s="77"/>
      <c r="J7" s="77"/>
      <c r="K7" s="77"/>
      <c r="L7" s="95"/>
    </row>
    <row r="8" spans="1:15" x14ac:dyDescent="0.25">
      <c r="C8" s="21" t="s">
        <v>179</v>
      </c>
      <c r="E8" s="77" t="s">
        <v>24</v>
      </c>
      <c r="F8" s="77"/>
      <c r="G8" s="77" t="s">
        <v>98</v>
      </c>
      <c r="H8" s="77" t="s">
        <v>151</v>
      </c>
      <c r="I8" s="77" t="s">
        <v>22</v>
      </c>
      <c r="J8" s="77" t="s">
        <v>19</v>
      </c>
      <c r="K8" s="77" t="s">
        <v>36</v>
      </c>
      <c r="L8" s="95" t="s">
        <v>752</v>
      </c>
    </row>
    <row r="9" spans="1:15" x14ac:dyDescent="0.25">
      <c r="C9" s="24" t="s">
        <v>180</v>
      </c>
      <c r="E9" s="15" t="s">
        <v>97</v>
      </c>
      <c r="F9" s="15"/>
      <c r="G9" s="15" t="s">
        <v>97</v>
      </c>
      <c r="H9" s="15" t="s">
        <v>97</v>
      </c>
      <c r="I9" s="15" t="s">
        <v>97</v>
      </c>
      <c r="J9" s="15" t="s">
        <v>97</v>
      </c>
      <c r="K9" s="108" t="s">
        <v>100</v>
      </c>
      <c r="L9" s="96" t="s">
        <v>97</v>
      </c>
    </row>
    <row r="11" spans="1:15" x14ac:dyDescent="0.25">
      <c r="A11" s="21">
        <v>1</v>
      </c>
      <c r="B11" s="21" t="s">
        <v>522</v>
      </c>
      <c r="C11" s="21" t="str">
        <f>CONCATENATE(Expenses!$AT$6, ", Line ",Expenses!A29)</f>
        <v>Schedule C-1.0, Line 21</v>
      </c>
      <c r="D11" s="77" t="s">
        <v>173</v>
      </c>
      <c r="E11" s="1">
        <f>+Expenses!E29</f>
        <v>79624572</v>
      </c>
      <c r="G11" s="1">
        <f>E11-H11</f>
        <v>79624572</v>
      </c>
      <c r="H11" s="1">
        <f>+Expenses!AO29</f>
        <v>0</v>
      </c>
      <c r="I11" s="1">
        <f>+Expenses!AE29</f>
        <v>0</v>
      </c>
      <c r="J11" s="1">
        <f>+Expenses!AG29</f>
        <v>0</v>
      </c>
      <c r="K11" s="1">
        <f>+Expenses!AI29</f>
        <v>0</v>
      </c>
      <c r="L11" s="1">
        <f>+Expenses!AK29</f>
        <v>0</v>
      </c>
      <c r="M11" s="1"/>
      <c r="N11" s="21" t="s">
        <v>507</v>
      </c>
    </row>
    <row r="12" spans="1:15" x14ac:dyDescent="0.25">
      <c r="A12" s="21">
        <f>+A11+1</f>
        <v>2</v>
      </c>
      <c r="B12" s="21" t="s">
        <v>523</v>
      </c>
      <c r="C12" s="21" t="str">
        <f>CONCATENATE(Expenses!$AT$6, ", Line ",Expenses!A49)</f>
        <v>Schedule C-1.0, Line 41</v>
      </c>
      <c r="D12" s="77" t="s">
        <v>173</v>
      </c>
      <c r="E12" s="1">
        <f>+Expenses!E49</f>
        <v>219259815</v>
      </c>
      <c r="F12" s="1"/>
      <c r="G12" s="1">
        <f t="shared" ref="G12:G23" si="0">E12-H12</f>
        <v>219259815</v>
      </c>
      <c r="H12" s="1">
        <f>+Expenses!AO49</f>
        <v>0</v>
      </c>
      <c r="I12" s="1">
        <f>+Expenses!AE49</f>
        <v>0</v>
      </c>
      <c r="J12" s="1">
        <f>+Expenses!AG49</f>
        <v>0</v>
      </c>
      <c r="K12" s="1">
        <f>+Expenses!AI49</f>
        <v>0</v>
      </c>
      <c r="L12" s="1">
        <f>+Expenses!AK49</f>
        <v>0</v>
      </c>
      <c r="N12" s="34"/>
      <c r="O12" s="34"/>
    </row>
    <row r="13" spans="1:15" x14ac:dyDescent="0.25">
      <c r="A13" s="21">
        <f t="shared" ref="A13:A36" si="1">+A12+1</f>
        <v>3</v>
      </c>
      <c r="B13" s="21" t="s">
        <v>154</v>
      </c>
      <c r="C13" s="21" t="str">
        <f>CONCATENATE(Expenses!$AT$6, ", Line ",Expenses!A57)</f>
        <v>Schedule C-1.0, Line 49</v>
      </c>
      <c r="D13" s="77" t="s">
        <v>173</v>
      </c>
      <c r="E13" s="1">
        <f>+Expenses!E57</f>
        <v>338855705</v>
      </c>
      <c r="F13" s="1"/>
      <c r="G13" s="1">
        <f t="shared" ca="1" si="0"/>
        <v>338814599.80547845</v>
      </c>
      <c r="H13" s="1">
        <f ca="1">+Expenses!AO57</f>
        <v>41105.194521531484</v>
      </c>
      <c r="I13" s="1">
        <f ca="1">+Expenses!AE57</f>
        <v>3774.5909470665688</v>
      </c>
      <c r="J13" s="1">
        <f ca="1">+Expenses!AG57</f>
        <v>14731.294149106918</v>
      </c>
      <c r="K13" s="1">
        <f ca="1">+Expenses!AI57</f>
        <v>22599.309425357998</v>
      </c>
      <c r="L13" s="1">
        <f ca="1">+Expenses!AK57</f>
        <v>0</v>
      </c>
    </row>
    <row r="14" spans="1:15" x14ac:dyDescent="0.25">
      <c r="A14" s="21">
        <f t="shared" si="1"/>
        <v>4</v>
      </c>
      <c r="B14" s="21" t="s">
        <v>155</v>
      </c>
      <c r="C14" s="21" t="str">
        <f>CONCATENATE(Expenses!$AT$6, ", Line ",Expenses!A117)</f>
        <v>Schedule C-1.0, Line 109</v>
      </c>
      <c r="D14" s="77" t="s">
        <v>173</v>
      </c>
      <c r="E14" s="1">
        <f>+Expenses!E117</f>
        <v>81911523</v>
      </c>
      <c r="F14" s="1"/>
      <c r="G14" s="1">
        <f t="shared" si="0"/>
        <v>81700592.443668514</v>
      </c>
      <c r="H14" s="1">
        <f>+Expenses!AO117</f>
        <v>210930.55633148388</v>
      </c>
      <c r="I14" s="1">
        <f>+Expenses!AE117</f>
        <v>52422.050662192516</v>
      </c>
      <c r="J14" s="1">
        <f>+Expenses!AG117</f>
        <v>5547.113254593176</v>
      </c>
      <c r="K14" s="1">
        <f>+Expenses!AI117</f>
        <v>152961.39241469817</v>
      </c>
      <c r="L14" s="1">
        <f>+Expenses!AK117</f>
        <v>0</v>
      </c>
    </row>
    <row r="15" spans="1:15" x14ac:dyDescent="0.25">
      <c r="A15" s="21">
        <f t="shared" si="1"/>
        <v>5</v>
      </c>
      <c r="B15" s="21" t="s">
        <v>524</v>
      </c>
      <c r="C15" s="21" t="str">
        <f>CONCATENATE(Expenses!$AT$6, ", Line ",Expenses!A138)</f>
        <v>Schedule C-1.0, Line 130</v>
      </c>
      <c r="D15" s="77" t="s">
        <v>173</v>
      </c>
      <c r="E15" s="1">
        <f>+Expenses!E138</f>
        <v>4132541</v>
      </c>
      <c r="F15" s="1"/>
      <c r="G15" s="1">
        <f t="shared" si="0"/>
        <v>4132541</v>
      </c>
      <c r="H15" s="1">
        <f>+Expenses!AO138</f>
        <v>0</v>
      </c>
      <c r="I15" s="1">
        <f>+Expenses!AE138</f>
        <v>0</v>
      </c>
      <c r="J15" s="1">
        <f>+Expenses!AG138</f>
        <v>0</v>
      </c>
      <c r="K15" s="1">
        <f>+Expenses!AI138</f>
        <v>0</v>
      </c>
      <c r="L15" s="1">
        <f>+Expenses!AJ138</f>
        <v>0</v>
      </c>
    </row>
    <row r="16" spans="1:15" x14ac:dyDescent="0.25">
      <c r="A16" s="21">
        <f t="shared" si="1"/>
        <v>6</v>
      </c>
      <c r="B16" s="21" t="s">
        <v>773</v>
      </c>
      <c r="C16" s="21" t="str">
        <f>CONCATENATE(Expenses!$AT$6, ", Line ",Expenses!A176)</f>
        <v>Schedule C-1.0, Line 168</v>
      </c>
      <c r="D16" s="77" t="s">
        <v>173</v>
      </c>
      <c r="E16" s="1">
        <f>+Expenses!E176</f>
        <v>2044986</v>
      </c>
      <c r="F16" s="1"/>
      <c r="G16" s="1">
        <f t="shared" si="0"/>
        <v>1904011.1312230034</v>
      </c>
      <c r="H16" s="1">
        <f>+Expenses!AO176</f>
        <v>140974.8687769965</v>
      </c>
      <c r="I16" s="1">
        <f>+Expenses!AE176</f>
        <v>4632.3752319965151</v>
      </c>
      <c r="J16" s="1">
        <f>+Expenses!AG176</f>
        <v>4084.2849100000003</v>
      </c>
      <c r="K16" s="1">
        <f>+Expenses!AI176</f>
        <v>132258.20863499999</v>
      </c>
      <c r="L16" s="1">
        <f>+Expenses!AK176</f>
        <v>0</v>
      </c>
    </row>
    <row r="17" spans="1:12" x14ac:dyDescent="0.25">
      <c r="A17" s="21">
        <f t="shared" si="1"/>
        <v>7</v>
      </c>
      <c r="B17" s="21" t="s">
        <v>525</v>
      </c>
      <c r="C17" s="21" t="str">
        <f>CONCATENATE(Expenses!$AT$6, ", Line ",Expenses!A184)</f>
        <v>Schedule C-1.0, Line 176</v>
      </c>
      <c r="D17" s="77" t="s">
        <v>173</v>
      </c>
      <c r="E17" s="1">
        <f>+Expenses!E184</f>
        <v>1029481</v>
      </c>
      <c r="F17" s="1"/>
      <c r="G17" s="1">
        <f t="shared" si="0"/>
        <v>1029481</v>
      </c>
      <c r="H17" s="1">
        <f>+Expenses!AO184</f>
        <v>0</v>
      </c>
      <c r="I17" s="1">
        <f>+Expenses!AE184</f>
        <v>0</v>
      </c>
      <c r="J17" s="1">
        <f>+Expenses!AG184</f>
        <v>0</v>
      </c>
      <c r="K17" s="1">
        <f>+Expenses!AI184</f>
        <v>0</v>
      </c>
      <c r="L17" s="1">
        <f>+Expenses!AK184</f>
        <v>0</v>
      </c>
    </row>
    <row r="18" spans="1:12" x14ac:dyDescent="0.25">
      <c r="A18" s="21">
        <f t="shared" si="1"/>
        <v>8</v>
      </c>
      <c r="B18" s="21" t="s">
        <v>526</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+Expenses!AK191</f>
        <v>0</v>
      </c>
    </row>
    <row r="19" spans="1:12" x14ac:dyDescent="0.25">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25">
      <c r="A20" s="21">
        <f t="shared" si="1"/>
        <v>10</v>
      </c>
      <c r="B20" s="21" t="s">
        <v>156</v>
      </c>
      <c r="C20" s="21" t="str">
        <f>CONCATENATE(Expenses!$AT$6, ", Line ",Expenses!A226)</f>
        <v>Schedule C-1.0, Line 218</v>
      </c>
      <c r="D20" s="77" t="s">
        <v>173</v>
      </c>
      <c r="E20" s="1">
        <f>+Expenses!E226</f>
        <v>31042400</v>
      </c>
      <c r="F20" s="1"/>
      <c r="G20" s="1">
        <f t="shared" ca="1" si="0"/>
        <v>30774208.464824934</v>
      </c>
      <c r="H20" s="1">
        <f ca="1">+Expenses!AO226</f>
        <v>268191.53517506743</v>
      </c>
      <c r="I20" s="1">
        <f ca="1">+Expenses!AE226</f>
        <v>23854.736374263935</v>
      </c>
      <c r="J20" s="1">
        <f ca="1">+Expenses!AG226</f>
        <v>88360.686776625487</v>
      </c>
      <c r="K20" s="1">
        <f ca="1">+Expenses!AI226</f>
        <v>155976.11202417803</v>
      </c>
      <c r="L20" s="1">
        <f ca="1">+Expenses!AK226</f>
        <v>0</v>
      </c>
    </row>
    <row r="21" spans="1:12" x14ac:dyDescent="0.25">
      <c r="A21" s="21">
        <f t="shared" si="1"/>
        <v>11</v>
      </c>
      <c r="B21" s="21" t="s">
        <v>1</v>
      </c>
      <c r="C21" s="21" t="str">
        <f>CONCATENATE(Expenses!$AT$6, ", Line ",Expenses!A244)</f>
        <v>Schedule C-1.0, Line 236</v>
      </c>
      <c r="D21" s="77" t="s">
        <v>173</v>
      </c>
      <c r="E21" s="1">
        <f>+Expenses!E244</f>
        <v>168376401</v>
      </c>
      <c r="F21" s="1"/>
      <c r="G21" s="1">
        <f t="shared" ca="1" si="0"/>
        <v>167342909.20817524</v>
      </c>
      <c r="H21" s="1">
        <f ca="1">+Expenses!AO244</f>
        <v>1033491.7918247518</v>
      </c>
      <c r="I21" s="1">
        <f ca="1">+Expenses!AE244</f>
        <v>49893.128169582153</v>
      </c>
      <c r="J21" s="1">
        <f ca="1">+Expenses!AG244</f>
        <v>442313.68865232624</v>
      </c>
      <c r="K21" s="1">
        <f ca="1">+Expenses!AI244</f>
        <v>541284.97500284342</v>
      </c>
      <c r="L21" s="1">
        <f ca="1">+Expenses!AK244</f>
        <v>0</v>
      </c>
    </row>
    <row r="22" spans="1:12" x14ac:dyDescent="0.25">
      <c r="A22" s="21">
        <f t="shared" si="1"/>
        <v>12</v>
      </c>
      <c r="B22" s="21" t="s">
        <v>157</v>
      </c>
      <c r="C22" s="21" t="str">
        <f>CONCATENATE(Expenses!$AT$6, ", Line ",Expenses!A251)</f>
        <v>Schedule C-1.0, Line 243</v>
      </c>
      <c r="D22" s="77" t="s">
        <v>173</v>
      </c>
      <c r="E22" s="1">
        <f>+Expenses!E251</f>
        <v>6426728</v>
      </c>
      <c r="F22" s="1"/>
      <c r="G22" s="1">
        <f t="shared" ca="1" si="0"/>
        <v>6120463.149859244</v>
      </c>
      <c r="H22" s="1">
        <f ca="1">+Expenses!AO251</f>
        <v>306264.8501407564</v>
      </c>
      <c r="I22" s="1">
        <f ca="1">+Expenses!AE251</f>
        <v>43313.2043584778</v>
      </c>
      <c r="J22" s="1">
        <f ca="1">+Expenses!AG251</f>
        <v>63360.145623389923</v>
      </c>
      <c r="K22" s="1">
        <f ca="1">+Expenses!AI251</f>
        <v>199591.5001588887</v>
      </c>
      <c r="L22" s="1">
        <f ca="1">+Expenses!AK251</f>
        <v>0</v>
      </c>
    </row>
    <row r="23" spans="1:12" x14ac:dyDescent="0.25">
      <c r="A23" s="21">
        <f t="shared" si="1"/>
        <v>13</v>
      </c>
      <c r="B23" s="21" t="s">
        <v>148</v>
      </c>
      <c r="C23" s="21" t="str">
        <f>CONCATENATE(Expenses!$AT$6, ", Line ",Expenses!A260)</f>
        <v>Schedule C-1.0, Line 252</v>
      </c>
      <c r="D23" s="77" t="s">
        <v>173</v>
      </c>
      <c r="E23" s="1">
        <f>+Expenses!E260</f>
        <v>28155323</v>
      </c>
      <c r="F23" s="1"/>
      <c r="G23" s="1">
        <f t="shared" ca="1" si="0"/>
        <v>27203064.519701701</v>
      </c>
      <c r="H23" s="1">
        <f ca="1">+Expenses!AO260</f>
        <v>952258.48029829911</v>
      </c>
      <c r="I23" s="1">
        <f ca="1">+Expenses!AE260</f>
        <v>106119.05312326328</v>
      </c>
      <c r="J23" s="1">
        <f ca="1">+Expenses!AG260</f>
        <v>432184.45995493425</v>
      </c>
      <c r="K23" s="1">
        <f ca="1">+Expenses!AI260</f>
        <v>413954.96722010156</v>
      </c>
      <c r="L23" s="1">
        <f ca="1">+Expenses!AK260</f>
        <v>0</v>
      </c>
    </row>
    <row r="24" spans="1:12" x14ac:dyDescent="0.25">
      <c r="A24" s="21">
        <f t="shared" si="1"/>
        <v>14</v>
      </c>
      <c r="B24" s="21" t="s">
        <v>150</v>
      </c>
      <c r="C24" s="21" t="str">
        <f>CONCATENATE("Sum Line ",A11," to Line ",A23)</f>
        <v>Sum Line 1 to Line 13</v>
      </c>
      <c r="D24" s="77" t="s">
        <v>173</v>
      </c>
      <c r="E24" s="1">
        <f>SUM(E11:E23)</f>
        <v>960859475</v>
      </c>
      <c r="F24" s="1"/>
      <c r="G24" s="1">
        <f t="shared" ref="G24:L24" ca="1" si="2">SUM(G11:G23)</f>
        <v>957906257.72293091</v>
      </c>
      <c r="H24" s="1">
        <f t="shared" ca="1" si="2"/>
        <v>2953217.2770688869</v>
      </c>
      <c r="I24" s="1">
        <f t="shared" ca="1" si="2"/>
        <v>284009.13886684278</v>
      </c>
      <c r="J24" s="1">
        <f t="shared" ca="1" si="2"/>
        <v>1050581.6733209759</v>
      </c>
      <c r="K24" s="1">
        <f t="shared" ca="1" si="2"/>
        <v>1618626.4648810679</v>
      </c>
      <c r="L24" s="1">
        <f t="shared" ca="1" si="2"/>
        <v>0</v>
      </c>
    </row>
    <row r="25" spans="1:12" x14ac:dyDescent="0.25">
      <c r="A25" s="21">
        <f t="shared" si="1"/>
        <v>15</v>
      </c>
      <c r="B25" s="21" t="s">
        <v>16</v>
      </c>
      <c r="C25" s="21" t="str">
        <f>CONCATENATE(Expenses!$AT$6, ", Line ",Expenses!A263)</f>
        <v>Schedule C-1.0, Line 255</v>
      </c>
      <c r="D25" s="77" t="s">
        <v>173</v>
      </c>
      <c r="E25" s="1"/>
      <c r="H25" s="22"/>
      <c r="I25" s="22">
        <f ca="1">+Expenses!AE263</f>
        <v>98337.234229772032</v>
      </c>
      <c r="J25" s="22">
        <f ca="1">+Expenses!AG263</f>
        <v>373725.4235604463</v>
      </c>
      <c r="K25" s="22">
        <f ca="1">+Expenses!AI263</f>
        <v>43235.095492983237</v>
      </c>
      <c r="L25" s="22">
        <f ca="1">+Expenses!AK263</f>
        <v>0</v>
      </c>
    </row>
    <row r="26" spans="1:12" x14ac:dyDescent="0.25">
      <c r="A26" s="21">
        <f t="shared" si="1"/>
        <v>16</v>
      </c>
      <c r="B26" s="21" t="s">
        <v>17</v>
      </c>
      <c r="C26" s="21" t="s">
        <v>772</v>
      </c>
      <c r="D26" s="77" t="s">
        <v>173</v>
      </c>
      <c r="E26" s="22"/>
      <c r="H26" s="22">
        <f ca="1">SUM(H24:H25)</f>
        <v>2953217.2770688869</v>
      </c>
      <c r="I26" s="22">
        <f ca="1">SUM(I24:I25)</f>
        <v>382346.37309661484</v>
      </c>
      <c r="J26" s="22">
        <f ca="1">SUM(J24:J25)</f>
        <v>1424307.0968814222</v>
      </c>
      <c r="K26" s="22">
        <f ca="1">SUM(K24:K25)</f>
        <v>1661861.5603740511</v>
      </c>
      <c r="L26" s="22">
        <f ca="1">SUM(L24:L25)</f>
        <v>0</v>
      </c>
    </row>
    <row r="27" spans="1:12" x14ac:dyDescent="0.25">
      <c r="A27" s="21">
        <f t="shared" si="1"/>
        <v>17</v>
      </c>
      <c r="D27" s="77"/>
    </row>
    <row r="28" spans="1:12" x14ac:dyDescent="0.25">
      <c r="A28" s="21">
        <f t="shared" si="1"/>
        <v>18</v>
      </c>
      <c r="B28" s="21" t="s">
        <v>18</v>
      </c>
      <c r="C28" s="21" t="str">
        <f>CONCATENATE(Usage!R6, ", L",Usage!A55, ", L",Usage!A13, ", L",Usage!A27, ", L",Usage!A53)</f>
        <v>Schedule E-1.0, L, L6, L, L</v>
      </c>
      <c r="D28" s="77" t="s">
        <v>160</v>
      </c>
      <c r="H28" s="1">
        <f>+Usage!P16</f>
        <v>2912276.3</v>
      </c>
      <c r="I28" s="1">
        <f>+Usage!P8</f>
        <v>119677.50000000001</v>
      </c>
      <c r="J28" s="1">
        <f>+Usage!P10</f>
        <v>192315.8</v>
      </c>
      <c r="K28" s="1">
        <f>+Usage!P12</f>
        <v>2600283</v>
      </c>
      <c r="L28" s="1">
        <f>+Usage!P14</f>
        <v>0</v>
      </c>
    </row>
    <row r="29" spans="1:12" x14ac:dyDescent="0.25">
      <c r="A29" s="21">
        <f t="shared" si="1"/>
        <v>19</v>
      </c>
      <c r="D29" s="77"/>
      <c r="H29" s="1"/>
      <c r="I29" s="1"/>
      <c r="J29" s="1"/>
      <c r="K29" s="1"/>
      <c r="L29" s="1"/>
    </row>
    <row r="30" spans="1:12" x14ac:dyDescent="0.25">
      <c r="A30" s="21">
        <f t="shared" si="1"/>
        <v>20</v>
      </c>
      <c r="D30" s="77"/>
      <c r="H30" s="1"/>
      <c r="I30" s="1"/>
      <c r="J30" s="1"/>
      <c r="K30" s="1"/>
      <c r="L30" s="1"/>
    </row>
    <row r="31" spans="1:12" x14ac:dyDescent="0.25">
      <c r="A31" s="21">
        <f t="shared" si="1"/>
        <v>21</v>
      </c>
      <c r="B31" s="66" t="s">
        <v>158</v>
      </c>
      <c r="C31" s="2"/>
      <c r="D31" s="77"/>
      <c r="H31" s="1"/>
      <c r="I31" s="1"/>
      <c r="J31" s="1"/>
      <c r="K31" s="1"/>
      <c r="L31" s="1"/>
    </row>
    <row r="32" spans="1:12" x14ac:dyDescent="0.25">
      <c r="A32" s="21">
        <f t="shared" si="1"/>
        <v>22</v>
      </c>
      <c r="B32" s="2" t="s">
        <v>174</v>
      </c>
      <c r="C32" s="21" t="str">
        <f>CONCATENATE("Line ",A33, " * 12")</f>
        <v>Line 23 * 12</v>
      </c>
      <c r="D32" s="77" t="s">
        <v>181</v>
      </c>
      <c r="H32" s="18">
        <f ca="1">IFERROR(+H33*12,0)</f>
        <v>12.120000000000001</v>
      </c>
      <c r="I32" s="18">
        <f ca="1">IFERROR(+I33*12,0)</f>
        <v>38.28</v>
      </c>
      <c r="J32" s="18">
        <f ca="1">IFERROR(+J33*12,0)</f>
        <v>88.92</v>
      </c>
      <c r="K32" s="18">
        <f ca="1">IFERROR(+K33*12,0)</f>
        <v>7.68</v>
      </c>
      <c r="L32" s="18">
        <f ca="1">IFERROR(+L33*12,0)</f>
        <v>0</v>
      </c>
    </row>
    <row r="33" spans="1:14" x14ac:dyDescent="0.25">
      <c r="A33" s="21">
        <f t="shared" si="1"/>
        <v>23</v>
      </c>
      <c r="B33" s="21" t="s">
        <v>175</v>
      </c>
      <c r="C33" s="21" t="str">
        <f>CONCATENATE("Line ",A26, " /", " Line ", A28)</f>
        <v>Line 16 / Line 18</v>
      </c>
      <c r="D33" s="77" t="s">
        <v>159</v>
      </c>
      <c r="H33" s="18">
        <f t="shared" ref="H33:J33" ca="1" si="3">IFERROR(ROUND(+H26/H28,2),0)</f>
        <v>1.01</v>
      </c>
      <c r="I33" s="18">
        <f t="shared" ca="1" si="3"/>
        <v>3.19</v>
      </c>
      <c r="J33" s="18">
        <f t="shared" ca="1" si="3"/>
        <v>7.41</v>
      </c>
      <c r="K33" s="18">
        <f ca="1">IFERROR(ROUND(+K26/K28,2),0)</f>
        <v>0.64</v>
      </c>
      <c r="L33" s="18">
        <f ca="1">IFERROR(ROUND(+L26/L28,2),0)</f>
        <v>0</v>
      </c>
      <c r="N33" s="160"/>
    </row>
    <row r="34" spans="1:14" x14ac:dyDescent="0.25">
      <c r="A34" s="21">
        <f t="shared" si="1"/>
        <v>24</v>
      </c>
      <c r="B34" s="21" t="s">
        <v>176</v>
      </c>
      <c r="C34" s="21" t="str">
        <f>CONCATENATE("Line ",A32, " / 52")</f>
        <v>Line 22 / 52</v>
      </c>
      <c r="D34" s="77" t="s">
        <v>182</v>
      </c>
      <c r="H34" s="80">
        <f ca="1">+H32/52</f>
        <v>0.2330769230769231</v>
      </c>
      <c r="I34" s="80">
        <f ca="1">+I32/52</f>
        <v>0.73615384615384616</v>
      </c>
      <c r="J34" s="80">
        <f ca="1">+J32/52</f>
        <v>1.71</v>
      </c>
      <c r="K34" s="80">
        <f ca="1">+K32/52</f>
        <v>0.14769230769230768</v>
      </c>
      <c r="L34" s="80">
        <f ca="1">+L32/52</f>
        <v>0</v>
      </c>
    </row>
    <row r="35" spans="1:14" x14ac:dyDescent="0.25">
      <c r="A35" s="21">
        <f t="shared" si="1"/>
        <v>25</v>
      </c>
      <c r="B35" s="21" t="s">
        <v>177</v>
      </c>
      <c r="C35" s="21" t="str">
        <f>CONCATENATE("Line ",A34, " / 5")</f>
        <v>Line 24 / 5</v>
      </c>
      <c r="D35" s="77" t="s">
        <v>183</v>
      </c>
      <c r="H35" s="80">
        <f ca="1">+H34/5</f>
        <v>4.6615384615384621E-2</v>
      </c>
      <c r="I35" s="80">
        <f t="shared" ref="I35:K35" ca="1" si="4">+I34/5</f>
        <v>0.14723076923076922</v>
      </c>
      <c r="J35" s="80">
        <f t="shared" ca="1" si="4"/>
        <v>0.34199999999999997</v>
      </c>
      <c r="K35" s="80">
        <f t="shared" ca="1" si="4"/>
        <v>2.9538461538461534E-2</v>
      </c>
      <c r="L35" s="80">
        <f t="shared" ref="L35" ca="1" si="5">+L34/5</f>
        <v>0</v>
      </c>
    </row>
    <row r="36" spans="1:14" x14ac:dyDescent="0.25">
      <c r="A36" s="21">
        <f t="shared" si="1"/>
        <v>26</v>
      </c>
      <c r="B36" s="21" t="s">
        <v>178</v>
      </c>
      <c r="C36" s="21" t="str">
        <f>CONCATENATE("Line ",A35, " / 16")</f>
        <v>Line 25 / 16</v>
      </c>
      <c r="D36" s="77" t="s">
        <v>184</v>
      </c>
      <c r="H36" s="80">
        <f ca="1">+H35/16</f>
        <v>2.9134615384615388E-3</v>
      </c>
      <c r="I36" s="80">
        <f ca="1">+I35/16</f>
        <v>9.2019230769230763E-3</v>
      </c>
      <c r="J36" s="80">
        <f ca="1">+J35/16</f>
        <v>2.1374999999999998E-2</v>
      </c>
      <c r="K36" s="80">
        <f ca="1">+K35/16</f>
        <v>1.8461538461538459E-3</v>
      </c>
      <c r="L36" s="80">
        <f ca="1">+L35/16</f>
        <v>0</v>
      </c>
    </row>
    <row r="39" spans="1:14" x14ac:dyDescent="0.25">
      <c r="G39" s="1"/>
      <c r="H39" s="1"/>
      <c r="I39" s="1"/>
      <c r="J39" s="1"/>
      <c r="K39" s="1"/>
      <c r="L39" s="1"/>
    </row>
    <row r="40" spans="1:14" x14ac:dyDescent="0.25">
      <c r="B40" s="2"/>
      <c r="D40" s="172"/>
      <c r="G40" s="1"/>
      <c r="H40" s="18"/>
      <c r="I40" s="18"/>
      <c r="J40" s="18"/>
      <c r="K40" s="18"/>
      <c r="L40" s="1"/>
    </row>
    <row r="41" spans="1:14" x14ac:dyDescent="0.25">
      <c r="D41" s="172"/>
      <c r="G41" s="22"/>
      <c r="H41" s="18"/>
      <c r="I41" s="18"/>
      <c r="J41" s="18"/>
      <c r="K41" s="18"/>
      <c r="L41" s="22"/>
    </row>
    <row r="42" spans="1:14" x14ac:dyDescent="0.25">
      <c r="D42" s="172"/>
      <c r="H42" s="80"/>
      <c r="I42" s="80"/>
      <c r="J42" s="80"/>
      <c r="K42" s="80"/>
    </row>
    <row r="43" spans="1:14" x14ac:dyDescent="0.25">
      <c r="D43" s="172"/>
      <c r="H43" s="80"/>
      <c r="I43" s="80"/>
      <c r="J43" s="80"/>
      <c r="K43" s="80"/>
    </row>
    <row r="44" spans="1:14" x14ac:dyDescent="0.25">
      <c r="D44" s="172"/>
      <c r="G44" s="1"/>
      <c r="H44" s="80"/>
      <c r="I44" s="80"/>
      <c r="J44" s="80"/>
      <c r="K44" s="80"/>
      <c r="L44" s="1"/>
    </row>
    <row r="45" spans="1:14" x14ac:dyDescent="0.25">
      <c r="G45" s="1"/>
      <c r="H45" s="1"/>
      <c r="I45" s="1"/>
      <c r="J45" s="1"/>
      <c r="K45" s="1"/>
      <c r="L45" s="1"/>
    </row>
    <row r="46" spans="1:14" x14ac:dyDescent="0.25">
      <c r="G46" s="22"/>
      <c r="H46" s="22"/>
      <c r="I46" s="22"/>
      <c r="J46" s="22"/>
      <c r="K46" s="22"/>
      <c r="L46" s="22"/>
    </row>
    <row r="47" spans="1:14" x14ac:dyDescent="0.25">
      <c r="H47" s="160"/>
      <c r="I47" s="160"/>
      <c r="J47" s="160"/>
      <c r="K47" s="160"/>
    </row>
    <row r="48" spans="1:14" x14ac:dyDescent="0.25">
      <c r="H48" s="160"/>
      <c r="I48" s="160"/>
      <c r="J48" s="160"/>
      <c r="K48" s="160"/>
    </row>
    <row r="49" spans="8:11" x14ac:dyDescent="0.25">
      <c r="H49" s="160"/>
      <c r="I49" s="160"/>
      <c r="J49" s="160"/>
      <c r="K49" s="160"/>
    </row>
    <row r="50" spans="8:11" x14ac:dyDescent="0.25">
      <c r="H50" s="160"/>
      <c r="I50" s="160"/>
      <c r="J50" s="160"/>
      <c r="K50" s="160"/>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workbookViewId="0">
      <pane xSplit="6" ySplit="7" topLeftCell="G8" activePane="bottomRight" state="frozen"/>
      <selection pane="topRight" activeCell="G1" sqref="G1"/>
      <selection pane="bottomLeft" activeCell="A8" sqref="A8"/>
      <selection pane="bottomRight" activeCell="C33" sqref="C33"/>
    </sheetView>
  </sheetViews>
  <sheetFormatPr defaultColWidth="9.140625" defaultRowHeight="15" x14ac:dyDescent="0.25"/>
  <cols>
    <col min="1" max="1" width="5.28515625" style="21" customWidth="1"/>
    <col min="2" max="2" width="14.7109375" style="21" customWidth="1"/>
    <col min="3" max="3" width="45.7109375" style="21" customWidth="1"/>
    <col min="4" max="4" width="20.5703125" style="21" bestFit="1" customWidth="1"/>
    <col min="5" max="5" width="15.42578125" style="21" bestFit="1" customWidth="1"/>
    <col min="6" max="6" width="6.42578125" style="21" bestFit="1" customWidth="1"/>
    <col min="7" max="14" width="13" style="21" customWidth="1"/>
    <col min="15" max="15" width="14.7109375" style="21" bestFit="1" customWidth="1"/>
    <col min="16" max="16" width="2.140625" style="21" customWidth="1"/>
    <col min="17" max="18" width="13" style="21" customWidth="1"/>
    <col min="19" max="19" width="15.42578125" style="21" bestFit="1" customWidth="1"/>
    <col min="20" max="20" width="2.140625" style="21" customWidth="1"/>
    <col min="21" max="21" width="4.85546875" style="21" bestFit="1" customWidth="1"/>
    <col min="22" max="29" width="13" style="21" customWidth="1"/>
    <col min="30" max="30" width="14.7109375" style="21" bestFit="1" customWidth="1"/>
    <col min="31" max="31" width="2.140625" style="21" customWidth="1"/>
    <col min="32" max="33" width="13" style="21" customWidth="1"/>
    <col min="34" max="34" width="14.7109375" style="21" bestFit="1" customWidth="1"/>
    <col min="35" max="16384" width="9.140625" style="21"/>
  </cols>
  <sheetData>
    <row r="1" spans="1:36" x14ac:dyDescent="0.25">
      <c r="A1" s="175" t="s">
        <v>27</v>
      </c>
      <c r="B1" s="175"/>
      <c r="C1" s="175"/>
      <c r="D1" s="175"/>
      <c r="E1" s="175"/>
      <c r="F1" s="175"/>
      <c r="G1" s="175"/>
      <c r="H1" s="175"/>
      <c r="I1" s="175"/>
      <c r="J1" s="175"/>
      <c r="K1" s="175"/>
      <c r="L1" s="175"/>
      <c r="M1" s="175"/>
      <c r="N1" s="175"/>
      <c r="O1" s="175"/>
      <c r="P1" s="175"/>
      <c r="Q1" s="175"/>
      <c r="R1" s="175"/>
      <c r="S1" s="175"/>
      <c r="T1" s="118"/>
      <c r="AE1" s="118"/>
      <c r="AF1" s="118"/>
      <c r="AG1" s="118"/>
    </row>
    <row r="2" spans="1:36" x14ac:dyDescent="0.25">
      <c r="A2" s="175" t="s">
        <v>867</v>
      </c>
      <c r="B2" s="175"/>
      <c r="C2" s="175"/>
      <c r="D2" s="175"/>
      <c r="E2" s="175"/>
      <c r="F2" s="175"/>
      <c r="G2" s="175"/>
      <c r="H2" s="175"/>
      <c r="I2" s="175"/>
      <c r="J2" s="175"/>
      <c r="K2" s="175"/>
      <c r="L2" s="175"/>
      <c r="M2" s="175"/>
      <c r="N2" s="175"/>
      <c r="O2" s="175"/>
      <c r="P2" s="175"/>
      <c r="Q2" s="175"/>
      <c r="R2" s="175"/>
      <c r="S2" s="175"/>
      <c r="T2" s="118"/>
      <c r="AE2" s="118"/>
      <c r="AF2" s="118"/>
      <c r="AG2" s="118"/>
    </row>
    <row r="4" spans="1:36" x14ac:dyDescent="0.25">
      <c r="B4" s="14" t="s">
        <v>835</v>
      </c>
      <c r="E4" s="118" t="s">
        <v>508</v>
      </c>
      <c r="F4" s="118" t="s">
        <v>509</v>
      </c>
      <c r="G4" s="118" t="s">
        <v>510</v>
      </c>
      <c r="H4" s="118" t="s">
        <v>511</v>
      </c>
      <c r="I4" s="118" t="s">
        <v>512</v>
      </c>
      <c r="J4" s="118" t="s">
        <v>513</v>
      </c>
      <c r="K4" s="118" t="s">
        <v>514</v>
      </c>
      <c r="L4" s="118" t="s">
        <v>515</v>
      </c>
      <c r="M4" s="118" t="s">
        <v>547</v>
      </c>
      <c r="N4" s="118" t="s">
        <v>548</v>
      </c>
      <c r="O4" s="118" t="s">
        <v>549</v>
      </c>
      <c r="P4" s="118"/>
      <c r="Q4" s="118" t="s">
        <v>643</v>
      </c>
      <c r="R4" s="118" t="s">
        <v>644</v>
      </c>
      <c r="S4" s="118" t="s">
        <v>645</v>
      </c>
      <c r="T4" s="118"/>
      <c r="U4" s="118" t="s">
        <v>646</v>
      </c>
      <c r="V4" s="118" t="s">
        <v>753</v>
      </c>
      <c r="W4" s="118" t="s">
        <v>687</v>
      </c>
      <c r="X4" s="118" t="s">
        <v>688</v>
      </c>
      <c r="Y4" s="118" t="s">
        <v>689</v>
      </c>
      <c r="Z4" s="118" t="s">
        <v>690</v>
      </c>
      <c r="AA4" s="118" t="s">
        <v>691</v>
      </c>
      <c r="AB4" s="118" t="s">
        <v>692</v>
      </c>
      <c r="AC4" s="118" t="s">
        <v>693</v>
      </c>
      <c r="AD4" s="118" t="s">
        <v>694</v>
      </c>
      <c r="AE4" s="118"/>
      <c r="AF4" s="118" t="s">
        <v>695</v>
      </c>
      <c r="AG4" s="118" t="s">
        <v>696</v>
      </c>
      <c r="AH4" s="118" t="s">
        <v>697</v>
      </c>
    </row>
    <row r="5" spans="1:36" x14ac:dyDescent="0.25">
      <c r="O5" s="118"/>
      <c r="AD5" s="118"/>
    </row>
    <row r="6" spans="1:36" x14ac:dyDescent="0.25">
      <c r="G6" s="177" t="s">
        <v>647</v>
      </c>
      <c r="H6" s="177"/>
      <c r="I6" s="177" t="s">
        <v>648</v>
      </c>
      <c r="J6" s="177"/>
      <c r="K6" s="177" t="s">
        <v>649</v>
      </c>
      <c r="L6" s="177"/>
      <c r="M6" s="177" t="s">
        <v>752</v>
      </c>
      <c r="N6" s="177"/>
      <c r="O6" s="120" t="s">
        <v>775</v>
      </c>
      <c r="Q6" s="121"/>
      <c r="R6" s="121"/>
      <c r="S6" s="121"/>
      <c r="V6" s="177" t="s">
        <v>647</v>
      </c>
      <c r="W6" s="177"/>
      <c r="X6" s="177" t="s">
        <v>648</v>
      </c>
      <c r="Y6" s="177"/>
      <c r="Z6" s="177" t="s">
        <v>649</v>
      </c>
      <c r="AA6" s="177"/>
      <c r="AB6" s="177" t="s">
        <v>752</v>
      </c>
      <c r="AC6" s="177"/>
      <c r="AD6" s="120" t="s">
        <v>775</v>
      </c>
      <c r="AF6" s="121"/>
      <c r="AG6" s="121"/>
      <c r="AH6" s="121"/>
      <c r="AJ6" s="21" t="s">
        <v>745</v>
      </c>
    </row>
    <row r="7" spans="1:36" x14ac:dyDescent="0.25">
      <c r="D7" s="21" t="s">
        <v>179</v>
      </c>
      <c r="E7" s="118" t="s">
        <v>546</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545</v>
      </c>
      <c r="X7" s="65" t="s">
        <v>151</v>
      </c>
      <c r="Y7" s="21" t="s">
        <v>545</v>
      </c>
      <c r="Z7" s="65" t="s">
        <v>151</v>
      </c>
      <c r="AA7" s="21" t="s">
        <v>545</v>
      </c>
      <c r="AB7" s="65" t="s">
        <v>151</v>
      </c>
      <c r="AC7" s="21" t="s">
        <v>545</v>
      </c>
      <c r="AD7" s="65"/>
      <c r="AF7" s="65" t="s">
        <v>151</v>
      </c>
      <c r="AG7" s="21" t="s">
        <v>545</v>
      </c>
      <c r="AH7" s="118" t="s">
        <v>0</v>
      </c>
    </row>
    <row r="8" spans="1:36" x14ac:dyDescent="0.25">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25">
      <c r="A9" s="118">
        <v>1</v>
      </c>
      <c r="B9" s="66" t="s">
        <v>419</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25">
      <c r="A10" s="118">
        <f>+A9+1</f>
        <v>2</v>
      </c>
      <c r="B10" s="14">
        <v>301</v>
      </c>
      <c r="C10" s="21" t="s">
        <v>420</v>
      </c>
      <c r="D10" s="21" t="s">
        <v>421</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25">
      <c r="A11" s="118">
        <f t="shared" ref="A11:A94" si="1">+A10+1</f>
        <v>3</v>
      </c>
      <c r="B11" s="14">
        <v>302</v>
      </c>
      <c r="C11" s="21" t="s">
        <v>448</v>
      </c>
      <c r="D11" s="21" t="s">
        <v>422</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25">
      <c r="A12" s="118">
        <f t="shared" si="1"/>
        <v>4</v>
      </c>
      <c r="B12" s="14">
        <v>303</v>
      </c>
      <c r="C12" s="21" t="s">
        <v>423</v>
      </c>
      <c r="D12" s="21" t="s">
        <v>424</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25">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25">
      <c r="A14" s="118">
        <f t="shared" si="1"/>
        <v>6</v>
      </c>
      <c r="E14" s="119"/>
      <c r="G14" s="119"/>
      <c r="H14" s="119"/>
      <c r="I14" s="119"/>
      <c r="J14" s="119"/>
      <c r="K14" s="119"/>
      <c r="L14" s="119"/>
      <c r="M14" s="119"/>
      <c r="N14" s="119"/>
      <c r="O14" s="119"/>
      <c r="Q14" s="75"/>
      <c r="R14" s="75"/>
      <c r="S14" s="119"/>
      <c r="U14" s="118"/>
      <c r="AF14" s="75"/>
      <c r="AG14" s="75"/>
    </row>
    <row r="15" spans="1:36" x14ac:dyDescent="0.25">
      <c r="A15" s="118">
        <f t="shared" si="1"/>
        <v>7</v>
      </c>
      <c r="B15" s="66" t="s">
        <v>412</v>
      </c>
      <c r="C15" s="66"/>
      <c r="E15" s="119"/>
      <c r="G15" s="119"/>
      <c r="H15" s="119"/>
      <c r="I15" s="119"/>
      <c r="J15" s="20"/>
      <c r="K15" s="119"/>
      <c r="L15" s="20"/>
      <c r="M15" s="119"/>
      <c r="N15" s="20"/>
      <c r="O15" s="119"/>
      <c r="Q15" s="75"/>
      <c r="R15" s="8"/>
      <c r="S15" s="119"/>
      <c r="U15" s="118"/>
      <c r="AF15" s="75"/>
      <c r="AG15" s="8"/>
    </row>
    <row r="16" spans="1:36" x14ac:dyDescent="0.25">
      <c r="A16" s="118">
        <f t="shared" si="1"/>
        <v>8</v>
      </c>
      <c r="B16" s="14">
        <v>310</v>
      </c>
      <c r="C16" s="21" t="s">
        <v>28</v>
      </c>
      <c r="D16" s="21" t="s">
        <v>425</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25">
      <c r="A17" s="118">
        <f t="shared" si="1"/>
        <v>9</v>
      </c>
      <c r="B17" s="14">
        <v>311</v>
      </c>
      <c r="C17" s="21" t="s">
        <v>29</v>
      </c>
      <c r="D17" s="21" t="s">
        <v>426</v>
      </c>
      <c r="E17" s="25">
        <v>7909434</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7909434</v>
      </c>
      <c r="Q17" s="8">
        <f t="shared" si="8"/>
        <v>0</v>
      </c>
      <c r="R17" s="8">
        <f t="shared" si="8"/>
        <v>0</v>
      </c>
      <c r="S17" s="17">
        <f t="shared" si="9"/>
        <v>7909434</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7909434</v>
      </c>
      <c r="AF17" s="8">
        <f t="shared" si="11"/>
        <v>0</v>
      </c>
      <c r="AG17" s="8">
        <f t="shared" si="11"/>
        <v>0</v>
      </c>
      <c r="AH17" s="67">
        <f t="shared" si="12"/>
        <v>7909434</v>
      </c>
    </row>
    <row r="18" spans="1:34" x14ac:dyDescent="0.25">
      <c r="A18" s="118">
        <f t="shared" si="1"/>
        <v>10</v>
      </c>
      <c r="B18" s="14">
        <v>312</v>
      </c>
      <c r="C18" s="21" t="s">
        <v>427</v>
      </c>
      <c r="D18" s="21" t="s">
        <v>428</v>
      </c>
      <c r="E18" s="25">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8">
        <f t="shared" si="8"/>
        <v>0</v>
      </c>
      <c r="R18" s="8">
        <f t="shared" si="8"/>
        <v>0</v>
      </c>
      <c r="S18" s="17">
        <f t="shared" si="9"/>
        <v>96849320</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96849320</v>
      </c>
      <c r="AF18" s="8">
        <f t="shared" si="11"/>
        <v>0</v>
      </c>
      <c r="AG18" s="8">
        <f t="shared" si="11"/>
        <v>0</v>
      </c>
      <c r="AH18" s="67">
        <f t="shared" si="12"/>
        <v>96849320</v>
      </c>
    </row>
    <row r="19" spans="1:34" x14ac:dyDescent="0.25">
      <c r="A19" s="118">
        <f t="shared" si="1"/>
        <v>11</v>
      </c>
      <c r="B19" s="14">
        <v>313</v>
      </c>
      <c r="C19" s="21" t="s">
        <v>429</v>
      </c>
      <c r="D19" s="21" t="s">
        <v>430</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25">
      <c r="A20" s="118">
        <f t="shared" si="1"/>
        <v>12</v>
      </c>
      <c r="B20" s="14">
        <v>314</v>
      </c>
      <c r="C20" s="21" t="s">
        <v>431</v>
      </c>
      <c r="D20" s="21" t="s">
        <v>432</v>
      </c>
      <c r="E20" s="25">
        <v>79776956</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79776956</v>
      </c>
      <c r="Q20" s="8">
        <f t="shared" si="8"/>
        <v>0</v>
      </c>
      <c r="R20" s="8">
        <f t="shared" si="8"/>
        <v>0</v>
      </c>
      <c r="S20" s="17">
        <f t="shared" si="9"/>
        <v>79776956</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79776956</v>
      </c>
      <c r="AF20" s="8">
        <f t="shared" si="11"/>
        <v>0</v>
      </c>
      <c r="AG20" s="8">
        <f t="shared" si="11"/>
        <v>0</v>
      </c>
      <c r="AH20" s="67">
        <f t="shared" si="12"/>
        <v>79776956</v>
      </c>
    </row>
    <row r="21" spans="1:34" x14ac:dyDescent="0.25">
      <c r="A21" s="118">
        <f t="shared" si="1"/>
        <v>13</v>
      </c>
      <c r="B21" s="14">
        <v>315</v>
      </c>
      <c r="C21" s="21" t="s">
        <v>433</v>
      </c>
      <c r="D21" s="21" t="s">
        <v>434</v>
      </c>
      <c r="E21" s="25">
        <v>35225163</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35225163</v>
      </c>
      <c r="Q21" s="8">
        <f t="shared" si="8"/>
        <v>0</v>
      </c>
      <c r="R21" s="8">
        <f t="shared" si="8"/>
        <v>0</v>
      </c>
      <c r="S21" s="17">
        <f t="shared" si="9"/>
        <v>35225163</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35225163</v>
      </c>
      <c r="AF21" s="8">
        <f t="shared" si="11"/>
        <v>0</v>
      </c>
      <c r="AG21" s="8">
        <f t="shared" si="11"/>
        <v>0</v>
      </c>
      <c r="AH21" s="67">
        <f t="shared" si="12"/>
        <v>35225163</v>
      </c>
    </row>
    <row r="22" spans="1:34" x14ac:dyDescent="0.25">
      <c r="A22" s="118">
        <f t="shared" si="1"/>
        <v>14</v>
      </c>
      <c r="B22" s="14">
        <v>316</v>
      </c>
      <c r="C22" s="21" t="s">
        <v>435</v>
      </c>
      <c r="D22" s="21" t="s">
        <v>436</v>
      </c>
      <c r="E22" s="25">
        <v>6155542</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6155542</v>
      </c>
      <c r="Q22" s="8">
        <f t="shared" si="8"/>
        <v>0</v>
      </c>
      <c r="R22" s="8">
        <f t="shared" si="8"/>
        <v>0</v>
      </c>
      <c r="S22" s="17">
        <f t="shared" si="9"/>
        <v>6155542</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6155542</v>
      </c>
      <c r="AF22" s="8">
        <f t="shared" si="11"/>
        <v>0</v>
      </c>
      <c r="AG22" s="8">
        <f t="shared" si="11"/>
        <v>0</v>
      </c>
      <c r="AH22" s="67">
        <f t="shared" si="12"/>
        <v>6155542</v>
      </c>
    </row>
    <row r="23" spans="1:34" x14ac:dyDescent="0.25">
      <c r="A23" s="118">
        <f t="shared" si="1"/>
        <v>15</v>
      </c>
      <c r="B23" s="14">
        <v>317</v>
      </c>
      <c r="C23" s="21" t="s">
        <v>437</v>
      </c>
      <c r="D23" s="21" t="s">
        <v>438</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25">
      <c r="A24" s="118">
        <f t="shared" si="1"/>
        <v>16</v>
      </c>
      <c r="C24" s="21" t="s">
        <v>0</v>
      </c>
      <c r="E24" s="68">
        <f>SUM(E16:E23)</f>
        <v>244345852</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244345852</v>
      </c>
      <c r="Q24" s="81">
        <f>SUM(Q16:Q23)</f>
        <v>0</v>
      </c>
      <c r="R24" s="81">
        <f>SUM(R16:R23)</f>
        <v>0</v>
      </c>
      <c r="S24" s="68">
        <f>SUM(S16:S23)</f>
        <v>244345852</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244345852</v>
      </c>
      <c r="AF24" s="81">
        <f>SUM(AF16:AF23)</f>
        <v>0</v>
      </c>
      <c r="AG24" s="81">
        <f>SUM(AG16:AG23)</f>
        <v>0</v>
      </c>
      <c r="AH24" s="69">
        <f t="shared" ref="AH24" si="15">SUM(AH16:AH23)</f>
        <v>244345852</v>
      </c>
    </row>
    <row r="25" spans="1:34" x14ac:dyDescent="0.25">
      <c r="A25" s="118">
        <f t="shared" si="1"/>
        <v>17</v>
      </c>
      <c r="E25" s="119"/>
      <c r="G25" s="119"/>
      <c r="H25" s="119"/>
      <c r="I25" s="119"/>
      <c r="J25" s="119"/>
      <c r="K25" s="119"/>
      <c r="L25" s="119"/>
      <c r="M25" s="119"/>
      <c r="N25" s="119"/>
      <c r="O25" s="119"/>
      <c r="Q25" s="75"/>
      <c r="R25" s="75"/>
      <c r="S25" s="119"/>
      <c r="U25" s="118"/>
      <c r="AF25" s="75"/>
      <c r="AG25" s="75"/>
    </row>
    <row r="26" spans="1:34" x14ac:dyDescent="0.25">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25">
      <c r="A27" s="118">
        <f t="shared" si="1"/>
        <v>19</v>
      </c>
      <c r="B27" s="78">
        <v>340</v>
      </c>
      <c r="C27" s="2" t="s">
        <v>28</v>
      </c>
      <c r="D27" s="21" t="s">
        <v>439</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25">
      <c r="A28" s="118">
        <f t="shared" si="1"/>
        <v>20</v>
      </c>
      <c r="B28" s="14">
        <v>341</v>
      </c>
      <c r="C28" s="21" t="s">
        <v>29</v>
      </c>
      <c r="D28" s="21" t="s">
        <v>77</v>
      </c>
      <c r="E28" s="25">
        <v>103051548</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103051548</v>
      </c>
      <c r="Q28" s="8">
        <f t="shared" si="17"/>
        <v>0</v>
      </c>
      <c r="R28" s="8">
        <f t="shared" si="17"/>
        <v>0</v>
      </c>
      <c r="S28" s="17">
        <f t="shared" si="18"/>
        <v>103051548</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103051548</v>
      </c>
      <c r="AF28" s="8">
        <f t="shared" si="20"/>
        <v>0</v>
      </c>
      <c r="AG28" s="8">
        <f t="shared" si="20"/>
        <v>0</v>
      </c>
      <c r="AH28" s="67">
        <f t="shared" si="21"/>
        <v>103051548</v>
      </c>
    </row>
    <row r="29" spans="1:34" x14ac:dyDescent="0.25">
      <c r="A29" s="118">
        <f t="shared" si="1"/>
        <v>21</v>
      </c>
      <c r="B29" s="14">
        <v>342</v>
      </c>
      <c r="C29" s="21" t="s">
        <v>440</v>
      </c>
      <c r="D29" s="21" t="s">
        <v>441</v>
      </c>
      <c r="E29" s="25">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8">
        <f t="shared" si="17"/>
        <v>0</v>
      </c>
      <c r="R29" s="8">
        <f t="shared" si="17"/>
        <v>0</v>
      </c>
      <c r="S29" s="17">
        <f t="shared" si="18"/>
        <v>42420679</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42420679</v>
      </c>
      <c r="AF29" s="8">
        <f t="shared" si="20"/>
        <v>0</v>
      </c>
      <c r="AG29" s="8">
        <f t="shared" si="20"/>
        <v>0</v>
      </c>
      <c r="AH29" s="67">
        <f t="shared" si="21"/>
        <v>42420679</v>
      </c>
    </row>
    <row r="30" spans="1:34" x14ac:dyDescent="0.25">
      <c r="A30" s="118">
        <f t="shared" si="1"/>
        <v>22</v>
      </c>
      <c r="B30" s="14">
        <v>343</v>
      </c>
      <c r="C30" s="21" t="s">
        <v>442</v>
      </c>
      <c r="D30" s="21" t="s">
        <v>443</v>
      </c>
      <c r="E30" s="25">
        <v>165298048</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165298048</v>
      </c>
      <c r="Q30" s="8">
        <f t="shared" si="17"/>
        <v>0</v>
      </c>
      <c r="R30" s="8">
        <f t="shared" si="17"/>
        <v>0</v>
      </c>
      <c r="S30" s="17">
        <f t="shared" si="18"/>
        <v>165298048</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165298048</v>
      </c>
      <c r="AF30" s="8">
        <f t="shared" si="20"/>
        <v>0</v>
      </c>
      <c r="AG30" s="8">
        <f t="shared" si="20"/>
        <v>0</v>
      </c>
      <c r="AH30" s="67">
        <f t="shared" si="21"/>
        <v>165298048</v>
      </c>
    </row>
    <row r="31" spans="1:34" x14ac:dyDescent="0.25">
      <c r="A31" s="118">
        <f t="shared" si="1"/>
        <v>23</v>
      </c>
      <c r="B31" s="14">
        <v>344</v>
      </c>
      <c r="C31" s="21" t="s">
        <v>76</v>
      </c>
      <c r="D31" s="21" t="s">
        <v>78</v>
      </c>
      <c r="E31" s="25">
        <v>291818446</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291818446</v>
      </c>
      <c r="Q31" s="8">
        <f t="shared" si="17"/>
        <v>0</v>
      </c>
      <c r="R31" s="8">
        <f t="shared" si="17"/>
        <v>0</v>
      </c>
      <c r="S31" s="17">
        <f t="shared" si="18"/>
        <v>291818446</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291818446</v>
      </c>
      <c r="AF31" s="8">
        <f t="shared" si="20"/>
        <v>0</v>
      </c>
      <c r="AG31" s="8">
        <f t="shared" si="20"/>
        <v>0</v>
      </c>
      <c r="AH31" s="67">
        <f t="shared" si="21"/>
        <v>291818446</v>
      </c>
    </row>
    <row r="32" spans="1:34" x14ac:dyDescent="0.25">
      <c r="A32" s="118">
        <f t="shared" si="1"/>
        <v>24</v>
      </c>
      <c r="B32" s="14">
        <v>345</v>
      </c>
      <c r="C32" s="21" t="s">
        <v>433</v>
      </c>
      <c r="D32" s="21" t="s">
        <v>444</v>
      </c>
      <c r="E32" s="28">
        <v>31868145</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31868145</v>
      </c>
      <c r="Q32" s="8">
        <f t="shared" si="17"/>
        <v>0</v>
      </c>
      <c r="R32" s="8">
        <f t="shared" si="17"/>
        <v>0</v>
      </c>
      <c r="S32" s="17">
        <f t="shared" si="18"/>
        <v>31868145</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31868145</v>
      </c>
      <c r="AF32" s="8">
        <f t="shared" si="20"/>
        <v>0</v>
      </c>
      <c r="AG32" s="8">
        <f t="shared" si="20"/>
        <v>0</v>
      </c>
      <c r="AH32" s="67">
        <f t="shared" si="21"/>
        <v>31868145</v>
      </c>
    </row>
    <row r="33" spans="1:34" x14ac:dyDescent="0.25">
      <c r="A33" s="118">
        <f t="shared" si="1"/>
        <v>25</v>
      </c>
      <c r="B33" s="14">
        <v>346</v>
      </c>
      <c r="C33" s="21" t="s">
        <v>435</v>
      </c>
      <c r="D33" s="21" t="s">
        <v>445</v>
      </c>
      <c r="E33" s="28">
        <v>11641659</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11641659</v>
      </c>
      <c r="Q33" s="8">
        <f t="shared" si="17"/>
        <v>0</v>
      </c>
      <c r="R33" s="8">
        <f t="shared" si="17"/>
        <v>0</v>
      </c>
      <c r="S33" s="17">
        <f t="shared" si="18"/>
        <v>11641659</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11641659</v>
      </c>
      <c r="AF33" s="8">
        <f t="shared" si="20"/>
        <v>0</v>
      </c>
      <c r="AG33" s="8">
        <f t="shared" si="20"/>
        <v>0</v>
      </c>
      <c r="AH33" s="67">
        <f t="shared" si="21"/>
        <v>11641659</v>
      </c>
    </row>
    <row r="34" spans="1:34" x14ac:dyDescent="0.25">
      <c r="A34" s="118">
        <f t="shared" si="1"/>
        <v>26</v>
      </c>
      <c r="B34" s="14">
        <v>347</v>
      </c>
      <c r="C34" s="21" t="s">
        <v>446</v>
      </c>
      <c r="D34" s="21" t="s">
        <v>447</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25">
      <c r="A35" s="118">
        <f t="shared" si="1"/>
        <v>27</v>
      </c>
      <c r="C35" s="21" t="s">
        <v>0</v>
      </c>
      <c r="E35" s="32">
        <f>SUM(E27:E34)</f>
        <v>647729965</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647729965</v>
      </c>
      <c r="Q35" s="61">
        <f>SUM(Q27:Q34)</f>
        <v>0</v>
      </c>
      <c r="R35" s="61">
        <f>SUM(R27:R34)</f>
        <v>0</v>
      </c>
      <c r="S35" s="32">
        <f>SUM(S27:S34)</f>
        <v>647729965</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647729965</v>
      </c>
      <c r="AF35" s="61">
        <f>SUM(AF27:AF34)</f>
        <v>0</v>
      </c>
      <c r="AG35" s="61">
        <f>SUM(AG27:AG34)</f>
        <v>0</v>
      </c>
      <c r="AH35" s="32">
        <f t="shared" ref="AH35" si="24">SUM(AH27:AH34)</f>
        <v>647729965</v>
      </c>
    </row>
    <row r="36" spans="1:34" x14ac:dyDescent="0.25">
      <c r="A36" s="118">
        <f t="shared" si="1"/>
        <v>28</v>
      </c>
      <c r="G36" s="118"/>
      <c r="I36" s="118"/>
      <c r="K36" s="118"/>
      <c r="M36" s="118"/>
      <c r="O36" s="118"/>
      <c r="Q36" s="74"/>
      <c r="R36" s="73"/>
      <c r="U36" s="118"/>
      <c r="AF36" s="74"/>
      <c r="AG36" s="73"/>
    </row>
    <row r="37" spans="1:34" x14ac:dyDescent="0.25">
      <c r="A37" s="118">
        <f t="shared" si="1"/>
        <v>29</v>
      </c>
      <c r="B37" s="66" t="s">
        <v>79</v>
      </c>
      <c r="C37" s="66"/>
      <c r="G37" s="118"/>
      <c r="I37" s="118"/>
      <c r="K37" s="118"/>
      <c r="M37" s="118"/>
      <c r="O37" s="118"/>
      <c r="Q37" s="74"/>
      <c r="R37" s="73"/>
      <c r="U37" s="118"/>
      <c r="AF37" s="74"/>
      <c r="AG37" s="73"/>
    </row>
    <row r="38" spans="1:34" x14ac:dyDescent="0.25">
      <c r="A38" s="118">
        <f t="shared" si="1"/>
        <v>30</v>
      </c>
      <c r="B38" s="14">
        <v>350</v>
      </c>
      <c r="C38" s="21" t="s">
        <v>28</v>
      </c>
      <c r="D38" s="21" t="s">
        <v>80</v>
      </c>
      <c r="E38" s="20">
        <f>1237837-E39</f>
        <v>9262</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9262</v>
      </c>
      <c r="Q38" s="8">
        <f t="shared" ref="Q38:Q59" si="25">+M38+K38+I38+G38</f>
        <v>0</v>
      </c>
      <c r="R38" s="8">
        <f t="shared" ref="R38:R59" si="26">+N38+L38+J38+H38</f>
        <v>0</v>
      </c>
      <c r="S38" s="17">
        <f t="shared" ref="S38:S59" si="27">Q38+R38+O38</f>
        <v>9262</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9262</v>
      </c>
      <c r="AF38" s="8">
        <f t="shared" ref="AF38:AF59" si="29">+AB38+Z38+X38+V38</f>
        <v>0</v>
      </c>
      <c r="AG38" s="8">
        <f t="shared" ref="AG38:AG59" si="30">+AC38+AA38+Y38+W38</f>
        <v>0</v>
      </c>
      <c r="AH38" s="67">
        <f t="shared" ref="AH38:AH59" si="31">+AF38+AG38+AD38</f>
        <v>9262</v>
      </c>
    </row>
    <row r="39" spans="1:34" x14ac:dyDescent="0.25">
      <c r="A39" s="118">
        <f t="shared" si="1"/>
        <v>31</v>
      </c>
      <c r="B39" s="14" t="s">
        <v>551</v>
      </c>
      <c r="C39" s="21" t="s">
        <v>552</v>
      </c>
      <c r="E39" s="8">
        <f>SUM(G39:O39)</f>
        <v>1228575</v>
      </c>
      <c r="F39" s="1">
        <v>100</v>
      </c>
      <c r="G39" s="70">
        <v>35574</v>
      </c>
      <c r="H39" s="70"/>
      <c r="I39" s="169"/>
      <c r="J39" s="169"/>
      <c r="K39" s="70">
        <v>74617</v>
      </c>
      <c r="L39" s="169">
        <v>0</v>
      </c>
      <c r="M39" s="70">
        <v>0</v>
      </c>
      <c r="N39" s="70">
        <v>0</v>
      </c>
      <c r="O39" s="70">
        <f>997545+86271+34568</f>
        <v>1118384</v>
      </c>
      <c r="Q39" s="8">
        <f>+M39+K39+I39+G39</f>
        <v>110191</v>
      </c>
      <c r="R39" s="8">
        <f t="shared" si="26"/>
        <v>0</v>
      </c>
      <c r="S39" s="17">
        <f t="shared" si="27"/>
        <v>1228575</v>
      </c>
      <c r="U39" s="118">
        <v>300</v>
      </c>
      <c r="V39" s="67">
        <f>VLOOKUP($U39,AF!$B$39:$M$80,V$9)*G39</f>
        <v>35574</v>
      </c>
      <c r="W39" s="67">
        <f>VLOOKUP($U39,AF!$B$39:$M$80,W$9)*H39</f>
        <v>0</v>
      </c>
      <c r="X39" s="67">
        <f>VLOOKUP($U39,AF!$B$39:$M$80,X$9)*I39</f>
        <v>0</v>
      </c>
      <c r="Y39" s="67">
        <f>VLOOKUP($U39,AF!$B$39:$M$80,Y$9)*J39</f>
        <v>0</v>
      </c>
      <c r="Z39" s="67">
        <f>VLOOKUP($U39,AF!$B$39:$M$80,Z$9)*K39</f>
        <v>74617</v>
      </c>
      <c r="AA39" s="67">
        <f>VLOOKUP($U39,AF!$B$39:$M$80,AA$9)*L39</f>
        <v>0</v>
      </c>
      <c r="AB39" s="67">
        <f>VLOOKUP($U39,AF!$B$39:$M$80,AB$9)*M39</f>
        <v>0</v>
      </c>
      <c r="AC39" s="67">
        <f>VLOOKUP($U39,AF!$B$39:$M$80,AC$9)*N39</f>
        <v>0</v>
      </c>
      <c r="AD39" s="67">
        <f t="shared" si="28"/>
        <v>1118384</v>
      </c>
      <c r="AF39" s="8">
        <f t="shared" si="29"/>
        <v>110191</v>
      </c>
      <c r="AG39" s="8">
        <f t="shared" si="30"/>
        <v>0</v>
      </c>
      <c r="AH39" s="67">
        <f t="shared" si="31"/>
        <v>1228575</v>
      </c>
    </row>
    <row r="40" spans="1:34" x14ac:dyDescent="0.25">
      <c r="A40" s="118">
        <f t="shared" si="1"/>
        <v>32</v>
      </c>
      <c r="B40" s="14">
        <v>352</v>
      </c>
      <c r="C40" s="21" t="s">
        <v>29</v>
      </c>
      <c r="D40" s="21" t="s">
        <v>81</v>
      </c>
      <c r="E40" s="20">
        <f>1156381-E41</f>
        <v>1156381</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1156381</v>
      </c>
      <c r="Q40" s="8">
        <f t="shared" si="25"/>
        <v>0</v>
      </c>
      <c r="R40" s="8">
        <f t="shared" si="26"/>
        <v>0</v>
      </c>
      <c r="S40" s="17">
        <f t="shared" si="27"/>
        <v>1156381</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1156381</v>
      </c>
      <c r="AF40" s="8">
        <f t="shared" si="29"/>
        <v>0</v>
      </c>
      <c r="AG40" s="8">
        <f t="shared" si="30"/>
        <v>0</v>
      </c>
      <c r="AH40" s="67">
        <f t="shared" si="31"/>
        <v>1156381</v>
      </c>
    </row>
    <row r="41" spans="1:34" x14ac:dyDescent="0.25">
      <c r="A41" s="118">
        <f t="shared" si="1"/>
        <v>33</v>
      </c>
      <c r="B41" s="14" t="s">
        <v>553</v>
      </c>
      <c r="C41" s="21" t="s">
        <v>554</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25">
      <c r="A42" s="118">
        <f t="shared" si="1"/>
        <v>34</v>
      </c>
      <c r="B42" s="14">
        <v>353</v>
      </c>
      <c r="C42" s="21" t="s">
        <v>779</v>
      </c>
      <c r="D42" s="21" t="s">
        <v>844</v>
      </c>
      <c r="E42" s="20">
        <f>34345721-E43-E44-E45</f>
        <v>17688543.309999999</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17688543.309999999</v>
      </c>
      <c r="Q42" s="8">
        <f t="shared" si="25"/>
        <v>0</v>
      </c>
      <c r="R42" s="8">
        <f t="shared" si="26"/>
        <v>0</v>
      </c>
      <c r="S42" s="17">
        <f t="shared" si="27"/>
        <v>17688543.309999999</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17688543.309999999</v>
      </c>
      <c r="AF42" s="8">
        <f t="shared" si="29"/>
        <v>0</v>
      </c>
      <c r="AG42" s="8">
        <f t="shared" si="30"/>
        <v>0</v>
      </c>
      <c r="AH42" s="67">
        <f t="shared" si="31"/>
        <v>17688543.309999999</v>
      </c>
    </row>
    <row r="43" spans="1:34" x14ac:dyDescent="0.25">
      <c r="A43" s="118">
        <f t="shared" si="1"/>
        <v>35</v>
      </c>
      <c r="B43" s="14" t="s">
        <v>555</v>
      </c>
      <c r="C43" s="21" t="s">
        <v>556</v>
      </c>
      <c r="E43" s="8">
        <f>SUM(G43:O43)</f>
        <v>11113717.690000001</v>
      </c>
      <c r="F43" s="1">
        <v>100</v>
      </c>
      <c r="G43" s="70">
        <v>306073.09999999998</v>
      </c>
      <c r="H43" s="70">
        <v>0</v>
      </c>
      <c r="I43" s="70">
        <v>3135168.98</v>
      </c>
      <c r="J43" s="169">
        <v>0</v>
      </c>
      <c r="K43" s="70">
        <v>7672475.6100000003</v>
      </c>
      <c r="L43" s="169">
        <v>0</v>
      </c>
      <c r="M43" s="70">
        <v>0</v>
      </c>
      <c r="N43" s="169">
        <v>0</v>
      </c>
      <c r="O43" s="70">
        <v>0</v>
      </c>
      <c r="Q43" s="8">
        <f t="shared" si="25"/>
        <v>11113717.689999999</v>
      </c>
      <c r="R43" s="8">
        <f t="shared" si="26"/>
        <v>0</v>
      </c>
      <c r="S43" s="17">
        <f t="shared" si="27"/>
        <v>11113717.689999999</v>
      </c>
      <c r="U43" s="118">
        <v>300</v>
      </c>
      <c r="V43" s="67">
        <f>VLOOKUP($U43,AF!$B$39:$M$80,V$9)*G43</f>
        <v>306073.09999999998</v>
      </c>
      <c r="W43" s="67">
        <f>VLOOKUP($U43,AF!$B$39:$M$80,W$9)*H43</f>
        <v>0</v>
      </c>
      <c r="X43" s="67">
        <f>VLOOKUP($U43,AF!$B$39:$M$80,X$9)*I43</f>
        <v>3135168.98</v>
      </c>
      <c r="Y43" s="67">
        <f>VLOOKUP($U43,AF!$B$39:$M$80,Y$9)*J43</f>
        <v>0</v>
      </c>
      <c r="Z43" s="67">
        <f>VLOOKUP($U43,AF!$B$39:$M$80,Z$9)*K43</f>
        <v>7672475.6100000003</v>
      </c>
      <c r="AA43" s="67">
        <f>VLOOKUP($U43,AF!$B$39:$M$80,AA$9)*L43</f>
        <v>0</v>
      </c>
      <c r="AB43" s="67">
        <f>VLOOKUP($U43,AF!$B$39:$M$80,AB$9)*M43</f>
        <v>0</v>
      </c>
      <c r="AC43" s="67">
        <f>VLOOKUP($U43,AF!$B$39:$M$80,AC$9)*N43</f>
        <v>0</v>
      </c>
      <c r="AD43" s="67">
        <f t="shared" si="28"/>
        <v>0</v>
      </c>
      <c r="AF43" s="8">
        <f t="shared" si="29"/>
        <v>11113717.689999999</v>
      </c>
      <c r="AG43" s="8">
        <f t="shared" si="30"/>
        <v>0</v>
      </c>
      <c r="AH43" s="67">
        <f t="shared" si="31"/>
        <v>11113717.689999999</v>
      </c>
    </row>
    <row r="44" spans="1:34" x14ac:dyDescent="0.25">
      <c r="A44" s="118">
        <f t="shared" si="1"/>
        <v>36</v>
      </c>
      <c r="B44" s="14" t="s">
        <v>573</v>
      </c>
      <c r="C44" s="21" t="s">
        <v>37</v>
      </c>
      <c r="E44" s="169">
        <v>5543460</v>
      </c>
      <c r="F44" s="1">
        <v>103</v>
      </c>
      <c r="G44" s="1">
        <f>VLOOKUP($F44,AF!$B$39:$M$80,G$9)*$E44</f>
        <v>14549.763779527559</v>
      </c>
      <c r="H44" s="1">
        <f>VLOOKUP($F44,AF!$B$39:$M$80,H$9)*$E44</f>
        <v>72748.818897637801</v>
      </c>
      <c r="I44" s="1">
        <f>VLOOKUP($F44,AF!$B$39:$M$80,I$9)*$E44</f>
        <v>72748.818897637801</v>
      </c>
      <c r="J44" s="1">
        <f>VLOOKUP($F44,AF!$B$39:$M$80,J$9)*$E44</f>
        <v>0</v>
      </c>
      <c r="K44" s="1">
        <f>VLOOKUP($F44,AF!$B$39:$M$80,K$9)*$E44</f>
        <v>232796.22047244094</v>
      </c>
      <c r="L44" s="1">
        <f>VLOOKUP($F44,AF!$B$39:$M$80,L$9)*$E44</f>
        <v>0</v>
      </c>
      <c r="M44" s="1">
        <f>VLOOKUP($F44,AF!$B$39:$M$80,M$9)*$E44</f>
        <v>0</v>
      </c>
      <c r="N44" s="1">
        <f>VLOOKUP($F44,AF!$B$39:$M$80,N$9)*$E44</f>
        <v>0</v>
      </c>
      <c r="O44" s="1">
        <f>E44-SUM(G44:N44)</f>
        <v>5150616.3779527564</v>
      </c>
      <c r="Q44" s="8">
        <f t="shared" si="25"/>
        <v>320094.80314960628</v>
      </c>
      <c r="R44" s="8">
        <f t="shared" si="26"/>
        <v>72748.818897637801</v>
      </c>
      <c r="S44" s="17">
        <f t="shared" si="27"/>
        <v>5543460</v>
      </c>
      <c r="U44" s="118">
        <v>300</v>
      </c>
      <c r="V44" s="67">
        <f>VLOOKUP($U44,AF!$B$39:$M$80,V$9)*G44</f>
        <v>14549.763779527559</v>
      </c>
      <c r="W44" s="67">
        <f>VLOOKUP($U44,AF!$B$39:$M$80,W$9)*H44</f>
        <v>72748.818897637801</v>
      </c>
      <c r="X44" s="67">
        <f>VLOOKUP($U44,AF!$B$39:$M$80,X$9)*I44</f>
        <v>72748.818897637801</v>
      </c>
      <c r="Y44" s="67">
        <f>VLOOKUP($U44,AF!$B$39:$M$80,Y$9)*J44</f>
        <v>0</v>
      </c>
      <c r="Z44" s="67">
        <f>VLOOKUP($U44,AF!$B$39:$M$80,Z$9)*K44</f>
        <v>232796.22047244094</v>
      </c>
      <c r="AA44" s="67">
        <f>VLOOKUP($U44,AF!$B$39:$M$80,AA$9)*L44</f>
        <v>0</v>
      </c>
      <c r="AB44" s="67">
        <f>VLOOKUP($U44,AF!$B$39:$M$80,AB$9)*M44</f>
        <v>0</v>
      </c>
      <c r="AC44" s="67">
        <f>VLOOKUP($U44,AF!$B$39:$M$80,AC$9)*N44</f>
        <v>0</v>
      </c>
      <c r="AD44" s="67">
        <f t="shared" si="28"/>
        <v>5150616.3779527564</v>
      </c>
      <c r="AF44" s="8">
        <f t="shared" si="29"/>
        <v>320094.80314960628</v>
      </c>
      <c r="AG44" s="8">
        <f t="shared" si="30"/>
        <v>72748.818897637801</v>
      </c>
      <c r="AH44" s="67">
        <f t="shared" si="31"/>
        <v>5543460</v>
      </c>
    </row>
    <row r="45" spans="1:34" x14ac:dyDescent="0.25">
      <c r="A45" s="118">
        <f t="shared" si="1"/>
        <v>37</v>
      </c>
      <c r="B45" s="14" t="s">
        <v>574</v>
      </c>
      <c r="C45" s="21" t="s">
        <v>557</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25">
      <c r="A46" s="118">
        <f t="shared" si="1"/>
        <v>38</v>
      </c>
      <c r="B46" s="14">
        <v>354</v>
      </c>
      <c r="C46" s="21" t="s">
        <v>449</v>
      </c>
      <c r="D46" s="21" t="s">
        <v>450</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25">
      <c r="A47" s="118">
        <f t="shared" si="1"/>
        <v>39</v>
      </c>
      <c r="B47" s="14" t="s">
        <v>558</v>
      </c>
      <c r="C47" s="21" t="s">
        <v>559</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25">
      <c r="A48" s="118">
        <f t="shared" si="1"/>
        <v>40</v>
      </c>
      <c r="B48" s="14">
        <v>355</v>
      </c>
      <c r="C48" s="21" t="s">
        <v>31</v>
      </c>
      <c r="D48" s="21" t="s">
        <v>82</v>
      </c>
      <c r="E48" s="20">
        <f>19666661-E49</f>
        <v>-0.33999999985098839</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-0.33999999985098839</v>
      </c>
      <c r="Q48" s="8">
        <f t="shared" si="25"/>
        <v>0</v>
      </c>
      <c r="R48" s="8">
        <f t="shared" si="26"/>
        <v>0</v>
      </c>
      <c r="S48" s="17">
        <f t="shared" si="27"/>
        <v>-0.33999999985098839</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-0.33999999985098839</v>
      </c>
      <c r="AF48" s="8">
        <f t="shared" si="29"/>
        <v>0</v>
      </c>
      <c r="AG48" s="8">
        <f t="shared" si="30"/>
        <v>0</v>
      </c>
      <c r="AH48" s="67">
        <f t="shared" si="31"/>
        <v>-0.33999999985098839</v>
      </c>
    </row>
    <row r="49" spans="1:34" x14ac:dyDescent="0.25">
      <c r="A49" s="118">
        <f t="shared" si="1"/>
        <v>41</v>
      </c>
      <c r="B49" s="14" t="s">
        <v>560</v>
      </c>
      <c r="C49" s="21" t="s">
        <v>561</v>
      </c>
      <c r="E49" s="8">
        <f>SUM(G49:O49)</f>
        <v>19666661.34</v>
      </c>
      <c r="F49" s="1">
        <v>100</v>
      </c>
      <c r="G49" s="70">
        <v>2080895.41</v>
      </c>
      <c r="H49" s="70">
        <v>473942.48</v>
      </c>
      <c r="I49" s="70">
        <v>11319993.859999999</v>
      </c>
      <c r="J49" s="70">
        <v>0</v>
      </c>
      <c r="K49" s="70">
        <v>3280087.52</v>
      </c>
      <c r="L49" s="70">
        <v>0</v>
      </c>
      <c r="M49" s="70">
        <v>0</v>
      </c>
      <c r="N49" s="70">
        <v>0</v>
      </c>
      <c r="O49" s="70">
        <v>2511742.0699999998</v>
      </c>
      <c r="Q49" s="8">
        <f t="shared" si="25"/>
        <v>16680976.789999999</v>
      </c>
      <c r="R49" s="8">
        <f t="shared" si="26"/>
        <v>473942.48</v>
      </c>
      <c r="S49" s="17">
        <f t="shared" si="27"/>
        <v>19666661.34</v>
      </c>
      <c r="U49" s="118">
        <v>300</v>
      </c>
      <c r="V49" s="67">
        <f>VLOOKUP($U49,AF!$B$39:$M$80,V$9)*G49</f>
        <v>2080895.41</v>
      </c>
      <c r="W49" s="67">
        <f>VLOOKUP($U49,AF!$B$39:$M$80,W$9)*H49</f>
        <v>473942.48</v>
      </c>
      <c r="X49" s="67">
        <f>VLOOKUP($U49,AF!$B$39:$M$80,X$9)*I49</f>
        <v>11319993.859999999</v>
      </c>
      <c r="Y49" s="67">
        <f>VLOOKUP($U49,AF!$B$39:$M$80,Y$9)*J49</f>
        <v>0</v>
      </c>
      <c r="Z49" s="67">
        <f>VLOOKUP($U49,AF!$B$39:$M$80,Z$9)*K49</f>
        <v>3280087.52</v>
      </c>
      <c r="AA49" s="67">
        <f>VLOOKUP($U49,AF!$B$39:$M$80,AA$9)*L49</f>
        <v>0</v>
      </c>
      <c r="AB49" s="67">
        <f>VLOOKUP($U49,AF!$B$39:$M$80,AB$9)*M49</f>
        <v>0</v>
      </c>
      <c r="AC49" s="67">
        <f>VLOOKUP($U49,AF!$B$39:$M$80,AC$9)*N49</f>
        <v>0</v>
      </c>
      <c r="AD49" s="67">
        <f t="shared" si="28"/>
        <v>2511742.0700000003</v>
      </c>
      <c r="AF49" s="8">
        <f t="shared" si="29"/>
        <v>16680976.789999999</v>
      </c>
      <c r="AG49" s="8">
        <f t="shared" si="30"/>
        <v>473942.48</v>
      </c>
      <c r="AH49" s="67">
        <f t="shared" si="31"/>
        <v>19666661.34</v>
      </c>
    </row>
    <row r="50" spans="1:34" x14ac:dyDescent="0.25">
      <c r="A50" s="118">
        <f t="shared" si="1"/>
        <v>42</v>
      </c>
      <c r="B50" s="14">
        <v>356</v>
      </c>
      <c r="C50" s="21" t="s">
        <v>457</v>
      </c>
      <c r="D50" s="21" t="s">
        <v>83</v>
      </c>
      <c r="E50" s="20">
        <f>11983435-E51</f>
        <v>-0.45000000111758709</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-0.45000000111758709</v>
      </c>
      <c r="Q50" s="8">
        <f t="shared" si="25"/>
        <v>0</v>
      </c>
      <c r="R50" s="8">
        <f t="shared" si="26"/>
        <v>0</v>
      </c>
      <c r="S50" s="17">
        <f t="shared" si="27"/>
        <v>-0.45000000111758709</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-0.45000000111758709</v>
      </c>
      <c r="AF50" s="8">
        <f t="shared" si="29"/>
        <v>0</v>
      </c>
      <c r="AG50" s="8">
        <f t="shared" si="30"/>
        <v>0</v>
      </c>
      <c r="AH50" s="67">
        <f t="shared" si="31"/>
        <v>-0.45000000111758709</v>
      </c>
    </row>
    <row r="51" spans="1:34" x14ac:dyDescent="0.25">
      <c r="A51" s="118">
        <f t="shared" si="1"/>
        <v>43</v>
      </c>
      <c r="B51" s="14" t="s">
        <v>562</v>
      </c>
      <c r="C51" s="21" t="s">
        <v>563</v>
      </c>
      <c r="E51" s="8">
        <f>SUM(G51:O51)</f>
        <v>11983435.450000001</v>
      </c>
      <c r="F51" s="1">
        <v>100</v>
      </c>
      <c r="G51" s="70">
        <v>1657613.48</v>
      </c>
      <c r="H51" s="70">
        <v>627145.51</v>
      </c>
      <c r="I51" s="70">
        <v>33611.06</v>
      </c>
      <c r="J51" s="70">
        <v>0</v>
      </c>
      <c r="K51" s="70">
        <v>4006961.5</v>
      </c>
      <c r="L51" s="70"/>
      <c r="M51" s="70"/>
      <c r="N51" s="70"/>
      <c r="O51" s="70">
        <v>5658103.9000000004</v>
      </c>
      <c r="Q51" s="8">
        <f t="shared" si="25"/>
        <v>5698186.04</v>
      </c>
      <c r="R51" s="8">
        <f t="shared" si="26"/>
        <v>627145.51</v>
      </c>
      <c r="S51" s="17">
        <f t="shared" si="27"/>
        <v>11983435.449999999</v>
      </c>
      <c r="U51" s="118">
        <v>300</v>
      </c>
      <c r="V51" s="67">
        <f>VLOOKUP($U51,AF!$B$39:$M$80,V$9)*G51</f>
        <v>1657613.48</v>
      </c>
      <c r="W51" s="67">
        <f>VLOOKUP($U51,AF!$B$39:$M$80,W$9)*H51</f>
        <v>627145.51</v>
      </c>
      <c r="X51" s="67">
        <f>VLOOKUP($U51,AF!$B$39:$M$80,X$9)*I51</f>
        <v>33611.06</v>
      </c>
      <c r="Y51" s="67">
        <f>VLOOKUP($U51,AF!$B$39:$M$80,Y$9)*J51</f>
        <v>0</v>
      </c>
      <c r="Z51" s="67">
        <f>VLOOKUP($U51,AF!$B$39:$M$80,Z$9)*K51</f>
        <v>4006961.5</v>
      </c>
      <c r="AA51" s="67">
        <f>VLOOKUP($U51,AF!$B$39:$M$80,AA$9)*L51</f>
        <v>0</v>
      </c>
      <c r="AB51" s="67">
        <f>VLOOKUP($U51,AF!$B$39:$M$80,AB$9)*M51</f>
        <v>0</v>
      </c>
      <c r="AC51" s="67">
        <f>VLOOKUP($U51,AF!$B$39:$M$80,AC$9)*N51</f>
        <v>0</v>
      </c>
      <c r="AD51" s="67">
        <f t="shared" si="28"/>
        <v>5658103.9000000004</v>
      </c>
      <c r="AF51" s="8">
        <f t="shared" si="29"/>
        <v>5698186.04</v>
      </c>
      <c r="AG51" s="8">
        <f t="shared" si="30"/>
        <v>627145.51</v>
      </c>
      <c r="AH51" s="67">
        <f t="shared" si="31"/>
        <v>11983435.449999999</v>
      </c>
    </row>
    <row r="52" spans="1:34" x14ac:dyDescent="0.25">
      <c r="A52" s="118">
        <f t="shared" si="1"/>
        <v>44</v>
      </c>
      <c r="B52" s="14">
        <v>357</v>
      </c>
      <c r="C52" s="21" t="s">
        <v>451</v>
      </c>
      <c r="D52" s="21" t="s">
        <v>452</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25">
      <c r="A53" s="118">
        <f t="shared" si="1"/>
        <v>45</v>
      </c>
      <c r="B53" s="14" t="s">
        <v>564</v>
      </c>
      <c r="C53" s="21" t="s">
        <v>565</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25">
      <c r="A54" s="118">
        <f t="shared" si="1"/>
        <v>46</v>
      </c>
      <c r="B54" s="14">
        <v>358</v>
      </c>
      <c r="C54" s="21" t="s">
        <v>453</v>
      </c>
      <c r="D54" s="21" t="s">
        <v>454</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25">
      <c r="A55" s="118">
        <f t="shared" si="1"/>
        <v>47</v>
      </c>
      <c r="B55" s="14" t="s">
        <v>566</v>
      </c>
      <c r="C55" s="21" t="s">
        <v>567</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25">
      <c r="A56" s="118">
        <f t="shared" si="1"/>
        <v>48</v>
      </c>
      <c r="B56" s="14">
        <v>359</v>
      </c>
      <c r="C56" s="21" t="s">
        <v>32</v>
      </c>
      <c r="D56" s="21" t="s">
        <v>84</v>
      </c>
      <c r="E56" s="20">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8">
        <f t="shared" si="25"/>
        <v>0</v>
      </c>
      <c r="R56" s="8">
        <f t="shared" si="26"/>
        <v>0</v>
      </c>
      <c r="S56" s="17">
        <f t="shared" si="27"/>
        <v>-4.0000000000873115E-2</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-4.0000000000873115E-2</v>
      </c>
      <c r="AF56" s="8">
        <f t="shared" si="29"/>
        <v>0</v>
      </c>
      <c r="AG56" s="8">
        <f t="shared" si="30"/>
        <v>0</v>
      </c>
      <c r="AH56" s="67">
        <f t="shared" si="31"/>
        <v>-4.0000000000873115E-2</v>
      </c>
    </row>
    <row r="57" spans="1:34" x14ac:dyDescent="0.25">
      <c r="A57" s="118">
        <f t="shared" si="1"/>
        <v>49</v>
      </c>
      <c r="B57" s="14" t="s">
        <v>568</v>
      </c>
      <c r="C57" s="21" t="s">
        <v>569</v>
      </c>
      <c r="E57" s="8">
        <f>SUM(G57:O57)</f>
        <v>11454.04</v>
      </c>
      <c r="F57" s="1">
        <v>100</v>
      </c>
      <c r="G57" s="70"/>
      <c r="H57" s="70"/>
      <c r="I57" s="70"/>
      <c r="J57" s="70"/>
      <c r="K57" s="70"/>
      <c r="L57" s="70"/>
      <c r="M57" s="70"/>
      <c r="N57" s="70"/>
      <c r="O57" s="70">
        <v>11454.04</v>
      </c>
      <c r="Q57" s="8">
        <f t="shared" si="25"/>
        <v>0</v>
      </c>
      <c r="R57" s="8">
        <f t="shared" si="26"/>
        <v>0</v>
      </c>
      <c r="S57" s="17">
        <f t="shared" si="27"/>
        <v>11454.04</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11454.04</v>
      </c>
      <c r="AF57" s="8">
        <f t="shared" si="29"/>
        <v>0</v>
      </c>
      <c r="AG57" s="8">
        <f t="shared" si="30"/>
        <v>0</v>
      </c>
      <c r="AH57" s="67">
        <f t="shared" si="31"/>
        <v>11454.04</v>
      </c>
    </row>
    <row r="58" spans="1:34" x14ac:dyDescent="0.25">
      <c r="A58" s="118">
        <f t="shared" si="1"/>
        <v>50</v>
      </c>
      <c r="B58" s="14">
        <v>359.1</v>
      </c>
      <c r="C58" s="21" t="s">
        <v>455</v>
      </c>
      <c r="D58" s="21" t="s">
        <v>456</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25">
      <c r="A59" s="118">
        <f t="shared" si="1"/>
        <v>51</v>
      </c>
      <c r="B59" s="14" t="s">
        <v>570</v>
      </c>
      <c r="C59" s="21" t="s">
        <v>571</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25">
      <c r="A60" s="118">
        <f t="shared" si="1"/>
        <v>52</v>
      </c>
      <c r="C60" s="21" t="s">
        <v>0</v>
      </c>
      <c r="E60" s="32">
        <f>SUM(E38:E59)</f>
        <v>68401489</v>
      </c>
      <c r="F60" s="1"/>
      <c r="G60" s="32">
        <f t="shared" ref="G60:O60" si="32">SUM(G38:G59)</f>
        <v>4094705.7537795273</v>
      </c>
      <c r="H60" s="32">
        <f t="shared" si="32"/>
        <v>1173836.8088976378</v>
      </c>
      <c r="I60" s="32">
        <f t="shared" si="32"/>
        <v>14561522.718897639</v>
      </c>
      <c r="J60" s="32">
        <f t="shared" si="32"/>
        <v>0</v>
      </c>
      <c r="K60" s="32">
        <f t="shared" si="32"/>
        <v>15266937.850472441</v>
      </c>
      <c r="L60" s="32">
        <f t="shared" si="32"/>
        <v>0</v>
      </c>
      <c r="M60" s="32">
        <f t="shared" si="32"/>
        <v>0</v>
      </c>
      <c r="N60" s="32">
        <f t="shared" si="32"/>
        <v>0</v>
      </c>
      <c r="O60" s="32">
        <f t="shared" si="32"/>
        <v>33304485.867952757</v>
      </c>
      <c r="Q60" s="61">
        <f>SUM(Q38:Q59)</f>
        <v>33923166.323149607</v>
      </c>
      <c r="R60" s="61">
        <f>SUM(R38:R59)</f>
        <v>1173836.8088976378</v>
      </c>
      <c r="S60" s="32">
        <f>SUM(S38:S59)</f>
        <v>68401489</v>
      </c>
      <c r="U60" s="118"/>
      <c r="V60" s="32">
        <f t="shared" ref="V60:AD60" si="33">SUM(V38:V59)</f>
        <v>4094705.7537795273</v>
      </c>
      <c r="W60" s="32">
        <f t="shared" si="33"/>
        <v>1173836.8088976378</v>
      </c>
      <c r="X60" s="32">
        <f t="shared" si="33"/>
        <v>14561522.718897639</v>
      </c>
      <c r="Y60" s="32">
        <f t="shared" si="33"/>
        <v>0</v>
      </c>
      <c r="Z60" s="32">
        <f t="shared" si="33"/>
        <v>15266937.850472441</v>
      </c>
      <c r="AA60" s="32">
        <f t="shared" si="33"/>
        <v>0</v>
      </c>
      <c r="AB60" s="32">
        <f t="shared" si="33"/>
        <v>0</v>
      </c>
      <c r="AC60" s="32">
        <f t="shared" si="33"/>
        <v>0</v>
      </c>
      <c r="AD60" s="32">
        <f t="shared" si="33"/>
        <v>33304485.867952757</v>
      </c>
      <c r="AF60" s="61">
        <f>SUM(AF38:AF59)</f>
        <v>33923166.323149607</v>
      </c>
      <c r="AG60" s="61">
        <f>SUM(AG38:AG59)</f>
        <v>1173836.8088976378</v>
      </c>
      <c r="AH60" s="32">
        <f t="shared" ref="AH60" si="34">SUM(AH38:AH59)</f>
        <v>68401489</v>
      </c>
    </row>
    <row r="61" spans="1:34" x14ac:dyDescent="0.25">
      <c r="A61" s="118">
        <f t="shared" si="1"/>
        <v>53</v>
      </c>
      <c r="G61" s="174"/>
      <c r="H61" s="174"/>
      <c r="I61" s="174"/>
      <c r="J61" s="174"/>
      <c r="K61" s="174"/>
      <c r="M61" s="171"/>
      <c r="O61" s="171"/>
      <c r="Q61" s="74"/>
      <c r="R61" s="73"/>
      <c r="U61" s="118"/>
      <c r="AF61" s="74"/>
      <c r="AG61" s="73"/>
    </row>
    <row r="62" spans="1:34" x14ac:dyDescent="0.25">
      <c r="A62" s="118">
        <f t="shared" si="1"/>
        <v>54</v>
      </c>
      <c r="B62" s="66" t="s">
        <v>414</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25">
      <c r="A63" s="118">
        <f t="shared" si="1"/>
        <v>55</v>
      </c>
      <c r="B63" s="14">
        <v>360</v>
      </c>
      <c r="C63" s="21" t="s">
        <v>28</v>
      </c>
      <c r="D63" s="21" t="s">
        <v>458</v>
      </c>
      <c r="E63" s="25">
        <f>466938-E64</f>
        <v>0.47000000003026798</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0.47000000003026798</v>
      </c>
      <c r="AF63" s="8">
        <f t="shared" ref="AF63:AF86" si="39">+AB63+Z63+X63+V63</f>
        <v>0</v>
      </c>
      <c r="AG63" s="8">
        <f t="shared" ref="AG63:AG86" si="40">+AC63+AA63+Y63+W63</f>
        <v>0</v>
      </c>
      <c r="AH63" s="67">
        <f t="shared" ref="AH63:AH86" si="41">+AF63+AG63+AD63</f>
        <v>0.47000000003026798</v>
      </c>
    </row>
    <row r="64" spans="1:34" x14ac:dyDescent="0.25">
      <c r="A64" s="118">
        <f t="shared" si="1"/>
        <v>56</v>
      </c>
      <c r="B64" s="14" t="s">
        <v>650</v>
      </c>
      <c r="C64" s="21" t="s">
        <v>552</v>
      </c>
      <c r="E64" s="8">
        <f>SUM(G64:O64)</f>
        <v>466937.52999999997</v>
      </c>
      <c r="F64" s="1">
        <v>100</v>
      </c>
      <c r="G64" s="70">
        <v>9730</v>
      </c>
      <c r="H64" s="70">
        <v>16500.25</v>
      </c>
      <c r="I64" s="70">
        <v>0</v>
      </c>
      <c r="J64" s="70">
        <v>0</v>
      </c>
      <c r="K64" s="70">
        <v>82709.039999999994</v>
      </c>
      <c r="L64" s="70">
        <v>0</v>
      </c>
      <c r="M64" s="70">
        <v>0</v>
      </c>
      <c r="N64" s="70">
        <v>0</v>
      </c>
      <c r="O64" s="70">
        <v>357998.24</v>
      </c>
      <c r="Q64" s="8">
        <f t="shared" si="35"/>
        <v>92439.039999999994</v>
      </c>
      <c r="R64" s="8">
        <f t="shared" si="36"/>
        <v>16500.25</v>
      </c>
      <c r="S64" s="17">
        <f t="shared" si="37"/>
        <v>466937.52999999997</v>
      </c>
      <c r="U64" s="118">
        <v>301</v>
      </c>
      <c r="V64" s="67">
        <f>VLOOKUP($U64,AF!$B$39:$M$80,V$9)*G64</f>
        <v>880.56499999999994</v>
      </c>
      <c r="W64" s="67">
        <f>VLOOKUP($U64,AF!$B$39:$M$80,W$9)*H64</f>
        <v>1493.2726250000001</v>
      </c>
      <c r="X64" s="67">
        <f>VLOOKUP($U64,AF!$B$39:$M$80,X$9)*I64</f>
        <v>0</v>
      </c>
      <c r="Y64" s="67">
        <f>VLOOKUP($U64,AF!$B$39:$M$80,Y$9)*J64</f>
        <v>0</v>
      </c>
      <c r="Z64" s="67">
        <f>VLOOKUP($U64,AF!$B$39:$M$80,Z$9)*K64</f>
        <v>7485.1681199999994</v>
      </c>
      <c r="AA64" s="67">
        <f>VLOOKUP($U64,AF!$B$39:$M$80,AA$9)*L64</f>
        <v>0</v>
      </c>
      <c r="AB64" s="67">
        <f>VLOOKUP($U64,AF!$B$39:$M$80,AB$9)*M64</f>
        <v>0</v>
      </c>
      <c r="AC64" s="67">
        <f>VLOOKUP($U64,AF!$B$39:$M$80,AC$9)*N64</f>
        <v>0</v>
      </c>
      <c r="AD64" s="67">
        <f t="shared" si="38"/>
        <v>457078.524255</v>
      </c>
      <c r="AF64" s="8">
        <f t="shared" si="39"/>
        <v>8365.733119999999</v>
      </c>
      <c r="AG64" s="8">
        <f t="shared" si="40"/>
        <v>1493.2726250000001</v>
      </c>
      <c r="AH64" s="67">
        <f t="shared" si="41"/>
        <v>466937.52999999997</v>
      </c>
    </row>
    <row r="65" spans="1:34" x14ac:dyDescent="0.25">
      <c r="A65" s="118">
        <f t="shared" si="1"/>
        <v>57</v>
      </c>
      <c r="B65" s="14">
        <v>361</v>
      </c>
      <c r="C65" s="21" t="s">
        <v>29</v>
      </c>
      <c r="D65" s="21" t="s">
        <v>459</v>
      </c>
      <c r="E65" s="25">
        <f>286-E66</f>
        <v>-0.42000000000001592</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-0.42000000000001592</v>
      </c>
      <c r="Q65" s="8">
        <f t="shared" si="35"/>
        <v>0</v>
      </c>
      <c r="R65" s="8">
        <f t="shared" si="36"/>
        <v>0</v>
      </c>
      <c r="S65" s="17">
        <f t="shared" si="37"/>
        <v>-0.42000000000001592</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-0.42000000000001592</v>
      </c>
      <c r="AF65" s="8">
        <f t="shared" si="39"/>
        <v>0</v>
      </c>
      <c r="AG65" s="8">
        <f t="shared" si="40"/>
        <v>0</v>
      </c>
      <c r="AH65" s="67">
        <f t="shared" si="41"/>
        <v>-0.42000000000001592</v>
      </c>
    </row>
    <row r="66" spans="1:34" x14ac:dyDescent="0.25">
      <c r="A66" s="118">
        <f t="shared" si="1"/>
        <v>58</v>
      </c>
      <c r="B66" s="14" t="s">
        <v>651</v>
      </c>
      <c r="C66" s="21" t="s">
        <v>554</v>
      </c>
      <c r="E66" s="8">
        <f>SUM(G66:O66)</f>
        <v>286.42</v>
      </c>
      <c r="F66" s="1">
        <v>100</v>
      </c>
      <c r="G66" s="70">
        <v>0</v>
      </c>
      <c r="H66" s="70">
        <v>0</v>
      </c>
      <c r="I66" s="70">
        <v>0</v>
      </c>
      <c r="J66" s="70">
        <v>0</v>
      </c>
      <c r="K66" s="70">
        <v>0</v>
      </c>
      <c r="L66" s="70">
        <v>0</v>
      </c>
      <c r="M66" s="70">
        <v>0</v>
      </c>
      <c r="N66" s="70">
        <v>0</v>
      </c>
      <c r="O66" s="70">
        <v>286.42</v>
      </c>
      <c r="Q66" s="8">
        <f t="shared" si="35"/>
        <v>0</v>
      </c>
      <c r="R66" s="8">
        <f t="shared" si="36"/>
        <v>0</v>
      </c>
      <c r="S66" s="17">
        <f t="shared" si="37"/>
        <v>286.42</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286.42</v>
      </c>
      <c r="AF66" s="8">
        <f t="shared" si="39"/>
        <v>0</v>
      </c>
      <c r="AG66" s="8">
        <f t="shared" si="40"/>
        <v>0</v>
      </c>
      <c r="AH66" s="67">
        <f t="shared" si="41"/>
        <v>286.42</v>
      </c>
    </row>
    <row r="67" spans="1:34" x14ac:dyDescent="0.25">
      <c r="A67" s="118">
        <f t="shared" si="1"/>
        <v>59</v>
      </c>
      <c r="B67" s="14">
        <v>362</v>
      </c>
      <c r="C67" s="21" t="s">
        <v>30</v>
      </c>
      <c r="D67" s="21" t="s">
        <v>460</v>
      </c>
      <c r="E67" s="25">
        <f>101320196-E68</f>
        <v>-0.13000001013278961</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-0.13000001013278961</v>
      </c>
      <c r="Q67" s="8">
        <f t="shared" si="35"/>
        <v>0</v>
      </c>
      <c r="R67" s="8">
        <f t="shared" si="36"/>
        <v>0</v>
      </c>
      <c r="S67" s="17">
        <f t="shared" si="37"/>
        <v>-0.13000001013278961</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-0.13000001013278961</v>
      </c>
      <c r="AF67" s="8">
        <f t="shared" si="39"/>
        <v>0</v>
      </c>
      <c r="AG67" s="8">
        <f t="shared" si="40"/>
        <v>0</v>
      </c>
      <c r="AH67" s="67">
        <f t="shared" si="41"/>
        <v>-0.13000001013278961</v>
      </c>
    </row>
    <row r="68" spans="1:34" x14ac:dyDescent="0.25">
      <c r="A68" s="118">
        <f t="shared" si="1"/>
        <v>60</v>
      </c>
      <c r="B68" s="14" t="s">
        <v>652</v>
      </c>
      <c r="C68" s="21" t="s">
        <v>556</v>
      </c>
      <c r="E68" s="8">
        <f>SUM(G68:O68)</f>
        <v>101320196.13000001</v>
      </c>
      <c r="F68" s="1">
        <v>100</v>
      </c>
      <c r="G68" s="70">
        <v>1273104.8700000001</v>
      </c>
      <c r="H68" s="70">
        <v>4222790.37</v>
      </c>
      <c r="I68" s="70">
        <v>10755101.84</v>
      </c>
      <c r="J68" s="70">
        <v>0</v>
      </c>
      <c r="K68" s="70">
        <v>52476145.350000001</v>
      </c>
      <c r="L68" s="70">
        <v>0</v>
      </c>
      <c r="M68" s="70">
        <v>0</v>
      </c>
      <c r="N68" s="70">
        <v>0</v>
      </c>
      <c r="O68" s="70">
        <v>32593053.700000003</v>
      </c>
      <c r="Q68" s="8">
        <f t="shared" si="35"/>
        <v>64504352.059999995</v>
      </c>
      <c r="R68" s="8">
        <f t="shared" si="36"/>
        <v>4222790.37</v>
      </c>
      <c r="S68" s="17">
        <f t="shared" si="37"/>
        <v>101320196.13</v>
      </c>
      <c r="U68" s="118">
        <v>301</v>
      </c>
      <c r="V68" s="67">
        <f>VLOOKUP($U68,AF!$B$39:$M$80,V$9)*G68</f>
        <v>115215.990735</v>
      </c>
      <c r="W68" s="67">
        <f>VLOOKUP($U68,AF!$B$39:$M$80,W$9)*H68</f>
        <v>382162.52848500002</v>
      </c>
      <c r="X68" s="67">
        <f>VLOOKUP($U68,AF!$B$39:$M$80,X$9)*I68</f>
        <v>973336.7165199999</v>
      </c>
      <c r="Y68" s="67">
        <f>VLOOKUP($U68,AF!$B$39:$M$80,Y$9)*J68</f>
        <v>0</v>
      </c>
      <c r="Z68" s="67">
        <f>VLOOKUP($U68,AF!$B$39:$M$80,Z$9)*K68</f>
        <v>4749091.1541750003</v>
      </c>
      <c r="AA68" s="67">
        <f>VLOOKUP($U68,AF!$B$39:$M$80,AA$9)*L68</f>
        <v>0</v>
      </c>
      <c r="AB68" s="67">
        <f>VLOOKUP($U68,AF!$B$39:$M$80,AB$9)*M68</f>
        <v>0</v>
      </c>
      <c r="AC68" s="67">
        <f>VLOOKUP($U68,AF!$B$39:$M$80,AC$9)*N68</f>
        <v>0</v>
      </c>
      <c r="AD68" s="67">
        <f t="shared" si="38"/>
        <v>95100389.740085006</v>
      </c>
      <c r="AF68" s="8">
        <f t="shared" si="39"/>
        <v>5837643.8614300005</v>
      </c>
      <c r="AG68" s="8">
        <f t="shared" si="40"/>
        <v>382162.52848500002</v>
      </c>
      <c r="AH68" s="67">
        <f t="shared" si="41"/>
        <v>101320196.13000001</v>
      </c>
    </row>
    <row r="69" spans="1:34" x14ac:dyDescent="0.25">
      <c r="A69" s="118">
        <f t="shared" si="1"/>
        <v>61</v>
      </c>
      <c r="B69" s="14">
        <v>363</v>
      </c>
      <c r="C69" s="21" t="s">
        <v>461</v>
      </c>
      <c r="D69" s="21" t="s">
        <v>462</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25">
      <c r="A70" s="118">
        <f t="shared" si="1"/>
        <v>62</v>
      </c>
      <c r="B70" s="14" t="s">
        <v>653</v>
      </c>
      <c r="C70" s="21" t="s">
        <v>654</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25">
      <c r="A71" s="118">
        <f t="shared" si="1"/>
        <v>63</v>
      </c>
      <c r="B71" s="14">
        <v>364</v>
      </c>
      <c r="C71" s="21" t="s">
        <v>463</v>
      </c>
      <c r="D71" s="21" t="s">
        <v>464</v>
      </c>
      <c r="E71" s="25">
        <f>510-E72</f>
        <v>0.11000000000001364</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0.11000000000001364</v>
      </c>
      <c r="Q71" s="8">
        <f t="shared" si="35"/>
        <v>0</v>
      </c>
      <c r="R71" s="8">
        <f t="shared" si="36"/>
        <v>0</v>
      </c>
      <c r="S71" s="17">
        <f t="shared" si="37"/>
        <v>0.11000000000001364</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0.11000000000001364</v>
      </c>
      <c r="AF71" s="8">
        <f t="shared" si="39"/>
        <v>0</v>
      </c>
      <c r="AG71" s="8">
        <f t="shared" si="40"/>
        <v>0</v>
      </c>
      <c r="AH71" s="67">
        <f t="shared" si="41"/>
        <v>0.11000000000001364</v>
      </c>
    </row>
    <row r="72" spans="1:34" x14ac:dyDescent="0.25">
      <c r="A72" s="118">
        <f t="shared" si="1"/>
        <v>64</v>
      </c>
      <c r="B72" s="14" t="s">
        <v>655</v>
      </c>
      <c r="C72" s="21" t="s">
        <v>656</v>
      </c>
      <c r="E72" s="8">
        <f>SUM(G72:O72)</f>
        <v>509.89</v>
      </c>
      <c r="F72" s="1">
        <v>100</v>
      </c>
      <c r="G72" s="70"/>
      <c r="H72" s="70"/>
      <c r="I72" s="70">
        <v>509.89</v>
      </c>
      <c r="J72" s="70">
        <v>0</v>
      </c>
      <c r="K72" s="70">
        <v>0</v>
      </c>
      <c r="L72" s="70">
        <v>0</v>
      </c>
      <c r="M72" s="70">
        <v>0</v>
      </c>
      <c r="N72" s="70">
        <v>0</v>
      </c>
      <c r="O72" s="70">
        <v>0</v>
      </c>
      <c r="Q72" s="8">
        <f t="shared" si="35"/>
        <v>509.89</v>
      </c>
      <c r="R72" s="8">
        <f t="shared" si="36"/>
        <v>0</v>
      </c>
      <c r="S72" s="17">
        <f t="shared" si="37"/>
        <v>509.89</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509.89</v>
      </c>
      <c r="AF72" s="8">
        <f t="shared" si="39"/>
        <v>0</v>
      </c>
      <c r="AG72" s="8">
        <f t="shared" si="40"/>
        <v>0</v>
      </c>
      <c r="AH72" s="67">
        <f t="shared" si="41"/>
        <v>509.89</v>
      </c>
    </row>
    <row r="73" spans="1:34" x14ac:dyDescent="0.25">
      <c r="A73" s="118">
        <f t="shared" si="1"/>
        <v>65</v>
      </c>
      <c r="B73" s="14">
        <v>365</v>
      </c>
      <c r="C73" s="21" t="s">
        <v>457</v>
      </c>
      <c r="D73" s="21" t="s">
        <v>465</v>
      </c>
      <c r="E73" s="25">
        <f>60496-E74</f>
        <v>-2.0000000004074536E-2</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-2.0000000004074536E-2</v>
      </c>
      <c r="Q73" s="8">
        <f t="shared" si="35"/>
        <v>0</v>
      </c>
      <c r="R73" s="8">
        <f t="shared" si="36"/>
        <v>0</v>
      </c>
      <c r="S73" s="17">
        <f t="shared" si="37"/>
        <v>-2.0000000004074536E-2</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-2.0000000004074536E-2</v>
      </c>
      <c r="AF73" s="8">
        <f t="shared" si="39"/>
        <v>0</v>
      </c>
      <c r="AG73" s="8">
        <f t="shared" si="40"/>
        <v>0</v>
      </c>
      <c r="AH73" s="67">
        <f t="shared" si="41"/>
        <v>-2.0000000004074536E-2</v>
      </c>
    </row>
    <row r="74" spans="1:34" x14ac:dyDescent="0.25">
      <c r="A74" s="118">
        <f t="shared" si="1"/>
        <v>66</v>
      </c>
      <c r="B74" s="14" t="s">
        <v>657</v>
      </c>
      <c r="C74" s="21" t="s">
        <v>563</v>
      </c>
      <c r="E74" s="8">
        <f>SUM(G74:O74)</f>
        <v>60496.020000000004</v>
      </c>
      <c r="F74" s="1">
        <v>100</v>
      </c>
      <c r="G74" s="70">
        <v>0</v>
      </c>
      <c r="H74" s="70">
        <v>16557.27</v>
      </c>
      <c r="I74" s="70">
        <v>43938.75</v>
      </c>
      <c r="J74" s="70">
        <v>0</v>
      </c>
      <c r="K74" s="70">
        <v>0</v>
      </c>
      <c r="L74" s="70">
        <v>0</v>
      </c>
      <c r="M74" s="70">
        <v>0</v>
      </c>
      <c r="N74" s="70">
        <v>0</v>
      </c>
      <c r="O74" s="70">
        <v>0</v>
      </c>
      <c r="Q74" s="8">
        <f t="shared" si="35"/>
        <v>43938.75</v>
      </c>
      <c r="R74" s="8">
        <f t="shared" si="36"/>
        <v>16557.27</v>
      </c>
      <c r="S74" s="17">
        <f t="shared" si="37"/>
        <v>60496.020000000004</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60496.020000000004</v>
      </c>
      <c r="AF74" s="8">
        <f t="shared" si="39"/>
        <v>0</v>
      </c>
      <c r="AG74" s="8">
        <f t="shared" si="40"/>
        <v>0</v>
      </c>
      <c r="AH74" s="67">
        <f t="shared" si="41"/>
        <v>60496.020000000004</v>
      </c>
    </row>
    <row r="75" spans="1:34" x14ac:dyDescent="0.25">
      <c r="A75" s="118">
        <f t="shared" si="1"/>
        <v>67</v>
      </c>
      <c r="B75" s="14">
        <v>366</v>
      </c>
      <c r="C75" s="21" t="s">
        <v>451</v>
      </c>
      <c r="D75" s="21" t="s">
        <v>466</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25">
      <c r="A76" s="118">
        <f t="shared" si="1"/>
        <v>68</v>
      </c>
      <c r="B76" s="14" t="s">
        <v>658</v>
      </c>
      <c r="C76" s="21" t="s">
        <v>565</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25">
      <c r="A77" s="118">
        <f t="shared" si="1"/>
        <v>69</v>
      </c>
      <c r="B77" s="14">
        <v>367</v>
      </c>
      <c r="C77" s="21" t="s">
        <v>453</v>
      </c>
      <c r="D77" s="21" t="s">
        <v>467</v>
      </c>
      <c r="E77" s="25">
        <f>370-E78</f>
        <v>0.43000000000000682</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0.43000000000000682</v>
      </c>
      <c r="Q77" s="8">
        <f t="shared" si="35"/>
        <v>0</v>
      </c>
      <c r="R77" s="8">
        <f t="shared" si="36"/>
        <v>0</v>
      </c>
      <c r="S77" s="17">
        <f t="shared" si="37"/>
        <v>0.43000000000000682</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0.43000000000000682</v>
      </c>
      <c r="AF77" s="8">
        <f t="shared" si="39"/>
        <v>0</v>
      </c>
      <c r="AG77" s="8">
        <f t="shared" si="40"/>
        <v>0</v>
      </c>
      <c r="AH77" s="67">
        <f t="shared" si="41"/>
        <v>0.43000000000000682</v>
      </c>
    </row>
    <row r="78" spans="1:34" x14ac:dyDescent="0.25">
      <c r="A78" s="118">
        <f t="shared" si="1"/>
        <v>70</v>
      </c>
      <c r="B78" s="14" t="s">
        <v>659</v>
      </c>
      <c r="C78" s="21" t="s">
        <v>567</v>
      </c>
      <c r="E78" s="8">
        <f>SUM(G78:O78)</f>
        <v>369.57</v>
      </c>
      <c r="F78" s="1">
        <v>100</v>
      </c>
      <c r="G78" s="70">
        <v>0</v>
      </c>
      <c r="H78" s="70">
        <v>369.57</v>
      </c>
      <c r="I78" s="70">
        <v>0</v>
      </c>
      <c r="J78" s="70">
        <v>0</v>
      </c>
      <c r="K78" s="70">
        <v>0</v>
      </c>
      <c r="L78" s="70">
        <v>0</v>
      </c>
      <c r="M78" s="70">
        <v>0</v>
      </c>
      <c r="N78" s="70">
        <v>0</v>
      </c>
      <c r="O78" s="70">
        <v>0</v>
      </c>
      <c r="Q78" s="8">
        <f t="shared" si="35"/>
        <v>0</v>
      </c>
      <c r="R78" s="8">
        <f t="shared" si="36"/>
        <v>369.57</v>
      </c>
      <c r="S78" s="17">
        <f t="shared" si="37"/>
        <v>369.57</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369.57</v>
      </c>
      <c r="AF78" s="8">
        <f t="shared" si="39"/>
        <v>0</v>
      </c>
      <c r="AG78" s="8">
        <f t="shared" si="40"/>
        <v>0</v>
      </c>
      <c r="AH78" s="67">
        <f t="shared" si="41"/>
        <v>369.57</v>
      </c>
    </row>
    <row r="79" spans="1:34" x14ac:dyDescent="0.25">
      <c r="A79" s="118">
        <f t="shared" si="1"/>
        <v>71</v>
      </c>
      <c r="B79" s="14">
        <v>368</v>
      </c>
      <c r="C79" s="21" t="s">
        <v>468</v>
      </c>
      <c r="D79" s="21" t="s">
        <v>469</v>
      </c>
      <c r="E79" s="25">
        <f>47660-E80</f>
        <v>0.48999999999796273</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0.48999999999796273</v>
      </c>
      <c r="Q79" s="8">
        <f t="shared" si="35"/>
        <v>0</v>
      </c>
      <c r="R79" s="8">
        <f t="shared" si="36"/>
        <v>0</v>
      </c>
      <c r="S79" s="17">
        <f t="shared" si="37"/>
        <v>0.48999999999796273</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0.48999999999796273</v>
      </c>
      <c r="AF79" s="8">
        <f t="shared" si="39"/>
        <v>0</v>
      </c>
      <c r="AG79" s="8">
        <f t="shared" si="40"/>
        <v>0</v>
      </c>
      <c r="AH79" s="67">
        <f t="shared" si="41"/>
        <v>0.48999999999796273</v>
      </c>
    </row>
    <row r="80" spans="1:34" x14ac:dyDescent="0.25">
      <c r="A80" s="118">
        <f t="shared" si="1"/>
        <v>72</v>
      </c>
      <c r="B80" s="14" t="s">
        <v>660</v>
      </c>
      <c r="C80" s="21" t="s">
        <v>661</v>
      </c>
      <c r="E80" s="8">
        <f>SUM(G80:O80)</f>
        <v>47659.51</v>
      </c>
      <c r="F80" s="1">
        <v>100</v>
      </c>
      <c r="G80" s="70">
        <v>0</v>
      </c>
      <c r="H80" s="70">
        <v>18927.330000000002</v>
      </c>
      <c r="I80" s="70">
        <v>28732.18</v>
      </c>
      <c r="J80" s="70">
        <v>0</v>
      </c>
      <c r="K80" s="70">
        <v>0</v>
      </c>
      <c r="L80" s="70">
        <v>0</v>
      </c>
      <c r="M80" s="70">
        <v>0</v>
      </c>
      <c r="N80" s="70">
        <v>0</v>
      </c>
      <c r="O80" s="70">
        <v>0</v>
      </c>
      <c r="Q80" s="8">
        <f t="shared" si="35"/>
        <v>28732.18</v>
      </c>
      <c r="R80" s="8">
        <f t="shared" si="36"/>
        <v>18927.330000000002</v>
      </c>
      <c r="S80" s="17">
        <f t="shared" si="37"/>
        <v>47659.51</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47659.51</v>
      </c>
      <c r="AF80" s="8">
        <f t="shared" si="39"/>
        <v>0</v>
      </c>
      <c r="AG80" s="8">
        <f t="shared" si="40"/>
        <v>0</v>
      </c>
      <c r="AH80" s="67">
        <f t="shared" si="41"/>
        <v>47659.51</v>
      </c>
    </row>
    <row r="81" spans="1:34" x14ac:dyDescent="0.25">
      <c r="A81" s="118">
        <f t="shared" si="1"/>
        <v>73</v>
      </c>
      <c r="B81" s="14">
        <v>369</v>
      </c>
      <c r="C81" s="21" t="s">
        <v>470</v>
      </c>
      <c r="D81" s="21" t="s">
        <v>471</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25">
      <c r="A82" s="118">
        <f t="shared" si="1"/>
        <v>74</v>
      </c>
      <c r="B82" s="14">
        <v>370</v>
      </c>
      <c r="C82" s="21" t="s">
        <v>472</v>
      </c>
      <c r="D82" s="21" t="s">
        <v>473</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25">
      <c r="A83" s="118">
        <f t="shared" si="1"/>
        <v>75</v>
      </c>
      <c r="B83" s="14">
        <v>371</v>
      </c>
      <c r="C83" s="21" t="s">
        <v>474</v>
      </c>
      <c r="D83" s="21" t="s">
        <v>475</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25">
      <c r="A84" s="118">
        <f t="shared" si="1"/>
        <v>76</v>
      </c>
      <c r="B84" s="14">
        <v>372</v>
      </c>
      <c r="C84" s="21" t="s">
        <v>476</v>
      </c>
      <c r="D84" s="21" t="s">
        <v>477</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25">
      <c r="A85" s="118">
        <f t="shared" si="1"/>
        <v>77</v>
      </c>
      <c r="B85" s="14">
        <v>373</v>
      </c>
      <c r="C85" s="21" t="s">
        <v>478</v>
      </c>
      <c r="D85" s="21" t="s">
        <v>479</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25">
      <c r="A86" s="118">
        <f t="shared" si="1"/>
        <v>78</v>
      </c>
      <c r="B86" s="14">
        <v>374</v>
      </c>
      <c r="C86" s="21" t="s">
        <v>480</v>
      </c>
      <c r="D86" s="21" t="s">
        <v>481</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25">
      <c r="A87" s="118">
        <f t="shared" si="1"/>
        <v>79</v>
      </c>
      <c r="C87" s="21" t="s">
        <v>0</v>
      </c>
      <c r="E87" s="32">
        <f>SUM(E63:E86)</f>
        <v>101896456</v>
      </c>
      <c r="F87" s="1"/>
      <c r="G87" s="32">
        <f t="shared" ref="G87:O87" si="43">SUM(G63:G86)</f>
        <v>1282834.8700000001</v>
      </c>
      <c r="H87" s="32">
        <f t="shared" si="43"/>
        <v>4275144.79</v>
      </c>
      <c r="I87" s="32">
        <f t="shared" si="43"/>
        <v>10828282.66</v>
      </c>
      <c r="J87" s="32">
        <f t="shared" si="43"/>
        <v>0</v>
      </c>
      <c r="K87" s="32">
        <f t="shared" si="43"/>
        <v>52558854.390000001</v>
      </c>
      <c r="L87" s="32">
        <f t="shared" si="43"/>
        <v>0</v>
      </c>
      <c r="M87" s="32">
        <f t="shared" si="43"/>
        <v>0</v>
      </c>
      <c r="N87" s="32">
        <f t="shared" si="43"/>
        <v>0</v>
      </c>
      <c r="O87" s="32">
        <f t="shared" si="43"/>
        <v>32951338.819999989</v>
      </c>
      <c r="Q87" s="61">
        <f>SUM(Q63:Q86)</f>
        <v>64669971.919999994</v>
      </c>
      <c r="R87" s="61">
        <f>SUM(R63:R86)</f>
        <v>4275144.79</v>
      </c>
      <c r="S87" s="32">
        <f>SUM(S63:S86)</f>
        <v>101896455.52999999</v>
      </c>
      <c r="U87" s="118"/>
      <c r="V87" s="32">
        <f t="shared" ref="V87:AD87" si="44">SUM(V63:V86)</f>
        <v>116096.555735</v>
      </c>
      <c r="W87" s="32">
        <f t="shared" si="44"/>
        <v>383655.80111</v>
      </c>
      <c r="X87" s="32">
        <f t="shared" si="44"/>
        <v>973336.7165199999</v>
      </c>
      <c r="Y87" s="32">
        <f t="shared" si="44"/>
        <v>0</v>
      </c>
      <c r="Z87" s="32">
        <f t="shared" si="44"/>
        <v>4756576.3222949998</v>
      </c>
      <c r="AA87" s="32">
        <f t="shared" si="44"/>
        <v>0</v>
      </c>
      <c r="AB87" s="32">
        <f t="shared" si="44"/>
        <v>0</v>
      </c>
      <c r="AC87" s="32">
        <f t="shared" si="44"/>
        <v>0</v>
      </c>
      <c r="AD87" s="32">
        <f t="shared" si="44"/>
        <v>95666790.604340002</v>
      </c>
      <c r="AF87" s="61">
        <f>SUM(AF63:AF86)</f>
        <v>5846009.5945500005</v>
      </c>
      <c r="AG87" s="61">
        <f>SUM(AG63:AG86)</f>
        <v>383655.80111</v>
      </c>
      <c r="AH87" s="32">
        <f t="shared" ref="AH87" si="45">SUM(AH63:AH86)</f>
        <v>101896456</v>
      </c>
    </row>
    <row r="88" spans="1:34" x14ac:dyDescent="0.25">
      <c r="A88" s="118">
        <f t="shared" si="1"/>
        <v>80</v>
      </c>
      <c r="G88" s="171"/>
      <c r="I88" s="171"/>
      <c r="K88" s="171"/>
      <c r="M88" s="171"/>
      <c r="O88" s="171"/>
      <c r="Q88" s="74"/>
      <c r="R88" s="73"/>
      <c r="U88" s="118"/>
      <c r="AF88" s="74"/>
      <c r="AG88" s="73"/>
    </row>
    <row r="89" spans="1:34" x14ac:dyDescent="0.25">
      <c r="A89" s="118">
        <f t="shared" si="1"/>
        <v>81</v>
      </c>
      <c r="B89" s="66" t="s">
        <v>482</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25">
      <c r="A90" s="118">
        <f t="shared" si="1"/>
        <v>82</v>
      </c>
      <c r="B90" s="14">
        <v>380</v>
      </c>
      <c r="C90" s="21" t="s">
        <v>28</v>
      </c>
      <c r="D90" s="21" t="s">
        <v>483</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25">
      <c r="A91" s="118">
        <f t="shared" si="1"/>
        <v>83</v>
      </c>
      <c r="B91" s="14">
        <v>381</v>
      </c>
      <c r="C91" s="21" t="s">
        <v>29</v>
      </c>
      <c r="D91" s="21" t="s">
        <v>484</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25">
      <c r="A92" s="118">
        <f t="shared" si="1"/>
        <v>84</v>
      </c>
      <c r="B92" s="14">
        <v>382</v>
      </c>
      <c r="C92" s="21" t="s">
        <v>485</v>
      </c>
      <c r="D92" s="21" t="s">
        <v>486</v>
      </c>
      <c r="E92" s="25">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8">
        <f t="shared" si="47"/>
        <v>0</v>
      </c>
      <c r="R92" s="8">
        <f t="shared" si="47"/>
        <v>0</v>
      </c>
      <c r="S92" s="17">
        <f t="shared" si="48"/>
        <v>38157</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38157</v>
      </c>
      <c r="AF92" s="8">
        <f t="shared" si="50"/>
        <v>0</v>
      </c>
      <c r="AG92" s="8">
        <f t="shared" si="50"/>
        <v>0</v>
      </c>
      <c r="AH92" s="67">
        <f t="shared" si="51"/>
        <v>38157</v>
      </c>
    </row>
    <row r="93" spans="1:34" x14ac:dyDescent="0.25">
      <c r="A93" s="118">
        <f t="shared" si="1"/>
        <v>85</v>
      </c>
      <c r="B93" s="14">
        <v>383</v>
      </c>
      <c r="C93" s="21" t="s">
        <v>487</v>
      </c>
      <c r="D93" s="21" t="s">
        <v>488</v>
      </c>
      <c r="E93" s="25">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8">
        <f t="shared" si="47"/>
        <v>0</v>
      </c>
      <c r="R93" s="8">
        <f t="shared" si="47"/>
        <v>0</v>
      </c>
      <c r="S93" s="17">
        <f t="shared" si="48"/>
        <v>195079</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195079</v>
      </c>
      <c r="AF93" s="8">
        <f t="shared" si="50"/>
        <v>0</v>
      </c>
      <c r="AG93" s="8">
        <f t="shared" si="50"/>
        <v>0</v>
      </c>
      <c r="AH93" s="67">
        <f t="shared" si="51"/>
        <v>195079</v>
      </c>
    </row>
    <row r="94" spans="1:34" x14ac:dyDescent="0.25">
      <c r="A94" s="118">
        <f t="shared" si="1"/>
        <v>86</v>
      </c>
      <c r="B94" s="14">
        <v>384</v>
      </c>
      <c r="C94" s="21" t="s">
        <v>88</v>
      </c>
      <c r="D94" s="21" t="s">
        <v>489</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25">
      <c r="A95" s="118">
        <f t="shared" ref="A95:A141" si="52">+A94+1</f>
        <v>87</v>
      </c>
      <c r="B95" s="14">
        <v>385</v>
      </c>
      <c r="C95" s="21" t="s">
        <v>490</v>
      </c>
      <c r="D95" s="21" t="s">
        <v>491</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25">
      <c r="A96" s="118">
        <f t="shared" si="52"/>
        <v>88</v>
      </c>
      <c r="B96" s="14">
        <v>386</v>
      </c>
      <c r="C96" s="21" t="s">
        <v>492</v>
      </c>
      <c r="D96" s="21" t="s">
        <v>493</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25">
      <c r="A97" s="118">
        <f t="shared" si="52"/>
        <v>89</v>
      </c>
      <c r="C97" s="21" t="s">
        <v>0</v>
      </c>
      <c r="E97" s="32">
        <f>SUM(E90:E96)</f>
        <v>233236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233236</v>
      </c>
      <c r="Q97" s="61">
        <f t="shared" ref="Q97:R97" si="58">SUM(Q90:Q96)</f>
        <v>0</v>
      </c>
      <c r="R97" s="61">
        <f t="shared" si="58"/>
        <v>0</v>
      </c>
      <c r="S97" s="32">
        <f>SUM(S90:S96)</f>
        <v>233236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233236</v>
      </c>
      <c r="AF97" s="61">
        <f t="shared" ref="AF97:AH97" si="62">SUM(AF90:AF96)</f>
        <v>0</v>
      </c>
      <c r="AG97" s="61">
        <f t="shared" si="62"/>
        <v>0</v>
      </c>
      <c r="AH97" s="32">
        <f t="shared" si="62"/>
        <v>233236</v>
      </c>
    </row>
    <row r="98" spans="1:34" x14ac:dyDescent="0.25">
      <c r="A98" s="118">
        <f t="shared" si="52"/>
        <v>90</v>
      </c>
      <c r="G98" s="118"/>
      <c r="I98" s="118"/>
      <c r="K98" s="118"/>
      <c r="M98" s="118"/>
      <c r="O98" s="118"/>
      <c r="Q98" s="74"/>
      <c r="R98" s="73"/>
      <c r="U98" s="118"/>
      <c r="AF98" s="74"/>
      <c r="AG98" s="73"/>
    </row>
    <row r="99" spans="1:34" x14ac:dyDescent="0.25">
      <c r="A99" s="118">
        <f t="shared" si="52"/>
        <v>91</v>
      </c>
      <c r="B99" s="66" t="s">
        <v>85</v>
      </c>
      <c r="C99" s="66"/>
      <c r="G99" s="118"/>
      <c r="I99" s="118"/>
      <c r="K99" s="118"/>
      <c r="M99" s="118"/>
      <c r="O99" s="118"/>
      <c r="Q99" s="74"/>
      <c r="R99" s="73"/>
      <c r="U99" s="118"/>
      <c r="AF99" s="74"/>
      <c r="AG99" s="73"/>
    </row>
    <row r="100" spans="1:34" x14ac:dyDescent="0.25">
      <c r="A100" s="118">
        <f t="shared" si="52"/>
        <v>92</v>
      </c>
      <c r="B100" s="78">
        <v>389</v>
      </c>
      <c r="C100" s="2" t="s">
        <v>28</v>
      </c>
      <c r="D100" s="21" t="s">
        <v>494</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25">
      <c r="A101" s="118">
        <f t="shared" si="52"/>
        <v>93</v>
      </c>
      <c r="B101" s="14">
        <v>390</v>
      </c>
      <c r="C101" s="21" t="s">
        <v>29</v>
      </c>
      <c r="D101" s="21" t="s">
        <v>90</v>
      </c>
      <c r="E101" s="20">
        <v>393770</v>
      </c>
      <c r="F101" s="1">
        <v>107</v>
      </c>
      <c r="G101" s="1">
        <f>VLOOKUP($F101,AF!$B$39:$M$80,G$9)*$E101</f>
        <v>305.1221800319978</v>
      </c>
      <c r="H101" s="1">
        <f>VLOOKUP($F101,AF!$B$39:$M$80,H$9)*$E101</f>
        <v>1525.6109001599891</v>
      </c>
      <c r="I101" s="1">
        <f>VLOOKUP($F101,AF!$B$39:$M$80,I$9)*$E101</f>
        <v>1525.6109001599891</v>
      </c>
      <c r="J101" s="1">
        <f>VLOOKUP($F101,AF!$B$39:$M$80,J$9)*$E101</f>
        <v>0</v>
      </c>
      <c r="K101" s="1">
        <f>VLOOKUP($F101,AF!$B$39:$M$80,K$9)*$E101</f>
        <v>4881.9548805119648</v>
      </c>
      <c r="L101" s="1">
        <f>VLOOKUP($F101,AF!$B$39:$M$80,L$9)*$E101</f>
        <v>0</v>
      </c>
      <c r="M101" s="1">
        <f>VLOOKUP($F101,AF!$B$39:$M$80,M$9)*$E101</f>
        <v>0</v>
      </c>
      <c r="N101" s="1">
        <f>VLOOKUP($F101,AF!$B$39:$M$80,N$9)*$E101</f>
        <v>0</v>
      </c>
      <c r="O101" s="1">
        <f t="shared" si="63"/>
        <v>385531.70113913604</v>
      </c>
      <c r="Q101" s="8">
        <f t="shared" si="64"/>
        <v>6712.6879607039518</v>
      </c>
      <c r="R101" s="8">
        <f t="shared" si="65"/>
        <v>1525.6109001599891</v>
      </c>
      <c r="S101" s="17">
        <f t="shared" si="66"/>
        <v>393770</v>
      </c>
      <c r="U101" s="118">
        <v>305</v>
      </c>
      <c r="V101" s="67">
        <f ca="1">VLOOKUP($U101,AF!$B$39:$M$80,V$9)*G101</f>
        <v>238.74173164626347</v>
      </c>
      <c r="W101" s="67">
        <f ca="1">VLOOKUP($U101,AF!$B$39:$M$80,W$9)*H101</f>
        <v>421.32500662709066</v>
      </c>
      <c r="X101" s="67">
        <f ca="1">VLOOKUP($U101,AF!$B$39:$M$80,X$9)*I101</f>
        <v>931.7498833301338</v>
      </c>
      <c r="Y101" s="67">
        <f ca="1">VLOOKUP($U101,AF!$B$39:$M$80,Y$9)*J101</f>
        <v>0</v>
      </c>
      <c r="Z101" s="67">
        <f ca="1">VLOOKUP($U101,AF!$B$39:$M$80,Z$9)*K101</f>
        <v>1429.3994612615538</v>
      </c>
      <c r="AA101" s="67">
        <f ca="1">VLOOKUP($U101,AF!$B$39:$M$80,AA$9)*L101</f>
        <v>0</v>
      </c>
      <c r="AB101" s="67">
        <f ca="1">VLOOKUP($U101,AF!$B$39:$M$80,AB$9)*M101</f>
        <v>0</v>
      </c>
      <c r="AC101" s="67">
        <f ca="1">VLOOKUP($U101,AF!$B$39:$M$80,AC$9)*N101</f>
        <v>0</v>
      </c>
      <c r="AD101" s="67">
        <f t="shared" ca="1" si="67"/>
        <v>390748.78391713498</v>
      </c>
      <c r="AF101" s="8">
        <f t="shared" ca="1" si="68"/>
        <v>2599.891076237951</v>
      </c>
      <c r="AG101" s="8">
        <f t="shared" ca="1" si="69"/>
        <v>421.32500662709066</v>
      </c>
      <c r="AH101" s="67">
        <f t="shared" ca="1" si="70"/>
        <v>393770</v>
      </c>
    </row>
    <row r="102" spans="1:34" x14ac:dyDescent="0.25">
      <c r="A102" s="118">
        <f t="shared" si="52"/>
        <v>94</v>
      </c>
      <c r="B102" s="14">
        <v>391</v>
      </c>
      <c r="C102" s="21" t="s">
        <v>86</v>
      </c>
      <c r="D102" s="21" t="s">
        <v>91</v>
      </c>
      <c r="E102" s="20">
        <v>18617787</v>
      </c>
      <c r="F102" s="1">
        <v>107</v>
      </c>
      <c r="G102" s="1">
        <f>VLOOKUP($F102,AF!$B$39:$M$80,G$9)*$E102</f>
        <v>14426.441213935515</v>
      </c>
      <c r="H102" s="1">
        <f>VLOOKUP($F102,AF!$B$39:$M$80,H$9)*$E102</f>
        <v>72132.206069677588</v>
      </c>
      <c r="I102" s="1">
        <f>VLOOKUP($F102,AF!$B$39:$M$80,I$9)*$E102</f>
        <v>72132.206069677588</v>
      </c>
      <c r="J102" s="1">
        <f>VLOOKUP($F102,AF!$B$39:$M$80,J$9)*$E102</f>
        <v>0</v>
      </c>
      <c r="K102" s="1">
        <f>VLOOKUP($F102,AF!$B$39:$M$80,K$9)*$E102</f>
        <v>230823.05942296825</v>
      </c>
      <c r="L102" s="1">
        <f>VLOOKUP($F102,AF!$B$39:$M$80,L$9)*$E102</f>
        <v>0</v>
      </c>
      <c r="M102" s="1">
        <f>VLOOKUP($F102,AF!$B$39:$M$80,M$9)*$E102</f>
        <v>0</v>
      </c>
      <c r="N102" s="1">
        <f>VLOOKUP($F102,AF!$B$39:$M$80,N$9)*$E102</f>
        <v>0</v>
      </c>
      <c r="O102" s="1">
        <f t="shared" si="63"/>
        <v>18228273.087223742</v>
      </c>
      <c r="Q102" s="8">
        <f t="shared" si="64"/>
        <v>317381.70670658135</v>
      </c>
      <c r="R102" s="8">
        <f t="shared" si="65"/>
        <v>72132.206069677588</v>
      </c>
      <c r="S102" s="17">
        <f t="shared" si="66"/>
        <v>18617787</v>
      </c>
      <c r="U102" s="118">
        <v>305</v>
      </c>
      <c r="V102" s="67">
        <f ca="1">VLOOKUP($U102,AF!$B$39:$M$80,V$9)*G102</f>
        <v>11287.916062171553</v>
      </c>
      <c r="W102" s="67">
        <f ca="1">VLOOKUP($U102,AF!$B$39:$M$80,W$9)*H102</f>
        <v>19920.611603618261</v>
      </c>
      <c r="X102" s="67">
        <f ca="1">VLOOKUP($U102,AF!$B$39:$M$80,X$9)*I102</f>
        <v>44053.942314333959</v>
      </c>
      <c r="Y102" s="67">
        <f ca="1">VLOOKUP($U102,AF!$B$39:$M$80,Y$9)*J102</f>
        <v>0</v>
      </c>
      <c r="Z102" s="67">
        <f ca="1">VLOOKUP($U102,AF!$B$39:$M$80,Z$9)*K102</f>
        <v>67583.245822897516</v>
      </c>
      <c r="AA102" s="67">
        <f ca="1">VLOOKUP($U102,AF!$B$39:$M$80,AA$9)*L102</f>
        <v>0</v>
      </c>
      <c r="AB102" s="67">
        <f ca="1">VLOOKUP($U102,AF!$B$39:$M$80,AB$9)*M102</f>
        <v>0</v>
      </c>
      <c r="AC102" s="67">
        <f ca="1">VLOOKUP($U102,AF!$B$39:$M$80,AC$9)*N102</f>
        <v>0</v>
      </c>
      <c r="AD102" s="67">
        <f t="shared" ca="1" si="67"/>
        <v>18474941.28419698</v>
      </c>
      <c r="AF102" s="8">
        <f t="shared" ca="1" si="68"/>
        <v>122925.10419940304</v>
      </c>
      <c r="AG102" s="8">
        <f t="shared" ca="1" si="69"/>
        <v>19920.611603618261</v>
      </c>
      <c r="AH102" s="67">
        <f t="shared" ca="1" si="70"/>
        <v>18617787</v>
      </c>
    </row>
    <row r="103" spans="1:34" x14ac:dyDescent="0.25">
      <c r="A103" s="118">
        <f t="shared" si="52"/>
        <v>95</v>
      </c>
      <c r="B103" s="14">
        <v>392</v>
      </c>
      <c r="C103" s="21" t="s">
        <v>87</v>
      </c>
      <c r="D103" s="21" t="s">
        <v>92</v>
      </c>
      <c r="E103" s="20">
        <v>711943</v>
      </c>
      <c r="F103" s="1">
        <v>107</v>
      </c>
      <c r="G103" s="1">
        <f>VLOOKUP($F103,AF!$B$39:$M$80,G$9)*$E103</f>
        <v>551.66620163679454</v>
      </c>
      <c r="H103" s="1">
        <f>VLOOKUP($F103,AF!$B$39:$M$80,H$9)*$E103</f>
        <v>2758.3310081839732</v>
      </c>
      <c r="I103" s="1">
        <f>VLOOKUP($F103,AF!$B$39:$M$80,I$9)*$E103</f>
        <v>2758.3310081839732</v>
      </c>
      <c r="J103" s="1">
        <f>VLOOKUP($F103,AF!$B$39:$M$80,J$9)*$E103</f>
        <v>0</v>
      </c>
      <c r="K103" s="1">
        <f>VLOOKUP($F103,AF!$B$39:$M$80,K$9)*$E103</f>
        <v>8826.6592261887126</v>
      </c>
      <c r="L103" s="1">
        <f>VLOOKUP($F103,AF!$B$39:$M$80,L$9)*$E103</f>
        <v>0</v>
      </c>
      <c r="M103" s="1">
        <f>VLOOKUP($F103,AF!$B$39:$M$80,M$9)*$E103</f>
        <v>0</v>
      </c>
      <c r="N103" s="1">
        <f>VLOOKUP($F103,AF!$B$39:$M$80,N$9)*$E103</f>
        <v>0</v>
      </c>
      <c r="O103" s="1">
        <f t="shared" si="63"/>
        <v>697048.01255580655</v>
      </c>
      <c r="Q103" s="8">
        <f t="shared" si="64"/>
        <v>12136.656436009482</v>
      </c>
      <c r="R103" s="8">
        <f t="shared" si="65"/>
        <v>2758.3310081839732</v>
      </c>
      <c r="S103" s="17">
        <f t="shared" si="66"/>
        <v>711943</v>
      </c>
      <c r="U103" s="118">
        <v>305</v>
      </c>
      <c r="V103" s="67">
        <f ca="1">VLOOKUP($U103,AF!$B$39:$M$80,V$9)*G103</f>
        <v>431.64919789073758</v>
      </c>
      <c r="W103" s="67">
        <f ca="1">VLOOKUP($U103,AF!$B$39:$M$80,W$9)*H103</f>
        <v>761.76293062729712</v>
      </c>
      <c r="X103" s="67">
        <f ca="1">VLOOKUP($U103,AF!$B$39:$M$80,X$9)*I103</f>
        <v>1684.6199740653312</v>
      </c>
      <c r="Y103" s="67">
        <f ca="1">VLOOKUP($U103,AF!$B$39:$M$80,Y$9)*J103</f>
        <v>0</v>
      </c>
      <c r="Z103" s="67">
        <f ca="1">VLOOKUP($U103,AF!$B$39:$M$80,Z$9)*K103</f>
        <v>2584.3790554103516</v>
      </c>
      <c r="AA103" s="67">
        <f ca="1">VLOOKUP($U103,AF!$B$39:$M$80,AA$9)*L103</f>
        <v>0</v>
      </c>
      <c r="AB103" s="67">
        <f ca="1">VLOOKUP($U103,AF!$B$39:$M$80,AB$9)*M103</f>
        <v>0</v>
      </c>
      <c r="AC103" s="67">
        <f ca="1">VLOOKUP($U103,AF!$B$39:$M$80,AC$9)*N103</f>
        <v>0</v>
      </c>
      <c r="AD103" s="67">
        <f t="shared" ca="1" si="67"/>
        <v>706480.58884200628</v>
      </c>
      <c r="AF103" s="8">
        <f t="shared" ca="1" si="68"/>
        <v>4700.6482273664205</v>
      </c>
      <c r="AG103" s="8">
        <f t="shared" ca="1" si="69"/>
        <v>761.76293062729712</v>
      </c>
      <c r="AH103" s="67">
        <f t="shared" ca="1" si="70"/>
        <v>711943</v>
      </c>
    </row>
    <row r="104" spans="1:34" x14ac:dyDescent="0.25">
      <c r="A104" s="118">
        <f t="shared" si="52"/>
        <v>96</v>
      </c>
      <c r="B104" s="14">
        <v>393</v>
      </c>
      <c r="C104" s="21" t="s">
        <v>495</v>
      </c>
      <c r="D104" s="21" t="s">
        <v>496</v>
      </c>
      <c r="E104" s="20">
        <v>23099</v>
      </c>
      <c r="F104" s="1">
        <v>107</v>
      </c>
      <c r="G104" s="1">
        <f>VLOOKUP($F104,AF!$B$39:$M$80,G$9)*$E104</f>
        <v>17.89881716880188</v>
      </c>
      <c r="H104" s="1">
        <f>VLOOKUP($F104,AF!$B$39:$M$80,H$9)*$E104</f>
        <v>89.494085844009419</v>
      </c>
      <c r="I104" s="1">
        <f>VLOOKUP($F104,AF!$B$39:$M$80,I$9)*$E104</f>
        <v>89.494085844009419</v>
      </c>
      <c r="J104" s="1">
        <f>VLOOKUP($F104,AF!$B$39:$M$80,J$9)*$E104</f>
        <v>0</v>
      </c>
      <c r="K104" s="1">
        <f>VLOOKUP($F104,AF!$B$39:$M$80,K$9)*$E104</f>
        <v>286.38107470083008</v>
      </c>
      <c r="L104" s="1">
        <f>VLOOKUP($F104,AF!$B$39:$M$80,L$9)*$E104</f>
        <v>0</v>
      </c>
      <c r="M104" s="1">
        <f>VLOOKUP($F104,AF!$B$39:$M$80,M$9)*$E104</f>
        <v>0</v>
      </c>
      <c r="N104" s="1">
        <f>VLOOKUP($F104,AF!$B$39:$M$80,N$9)*$E104</f>
        <v>0</v>
      </c>
      <c r="O104" s="1">
        <f t="shared" si="63"/>
        <v>22615.731936442349</v>
      </c>
      <c r="Q104" s="8">
        <f t="shared" si="64"/>
        <v>393.77397771364139</v>
      </c>
      <c r="R104" s="8">
        <f t="shared" si="65"/>
        <v>89.494085844009419</v>
      </c>
      <c r="S104" s="17">
        <f t="shared" si="66"/>
        <v>23099</v>
      </c>
      <c r="U104" s="118">
        <v>305</v>
      </c>
      <c r="V104" s="67">
        <f ca="1">VLOOKUP($U104,AF!$B$39:$M$80,V$9)*G104</f>
        <v>14.004863903540237</v>
      </c>
      <c r="W104" s="67">
        <f ca="1">VLOOKUP($U104,AF!$B$39:$M$80,W$9)*H104</f>
        <v>24.715408304541146</v>
      </c>
      <c r="X104" s="67">
        <f ca="1">VLOOKUP($U104,AF!$B$39:$M$80,X$9)*I104</f>
        <v>54.65751721828164</v>
      </c>
      <c r="Y104" s="67">
        <f ca="1">VLOOKUP($U104,AF!$B$39:$M$80,Y$9)*J104</f>
        <v>0</v>
      </c>
      <c r="Z104" s="67">
        <f ca="1">VLOOKUP($U104,AF!$B$39:$M$80,Z$9)*K104</f>
        <v>83.850212448080413</v>
      </c>
      <c r="AA104" s="67">
        <f ca="1">VLOOKUP($U104,AF!$B$39:$M$80,AA$9)*L104</f>
        <v>0</v>
      </c>
      <c r="AB104" s="67">
        <f ca="1">VLOOKUP($U104,AF!$B$39:$M$80,AB$9)*M104</f>
        <v>0</v>
      </c>
      <c r="AC104" s="67">
        <f ca="1">VLOOKUP($U104,AF!$B$39:$M$80,AC$9)*N104</f>
        <v>0</v>
      </c>
      <c r="AD104" s="67">
        <f t="shared" ca="1" si="67"/>
        <v>22921.771998125558</v>
      </c>
      <c r="AF104" s="8">
        <f t="shared" ca="1" si="68"/>
        <v>152.51259356990229</v>
      </c>
      <c r="AG104" s="8">
        <f t="shared" ca="1" si="69"/>
        <v>24.715408304541146</v>
      </c>
      <c r="AH104" s="67">
        <f t="shared" ca="1" si="70"/>
        <v>23099</v>
      </c>
    </row>
    <row r="105" spans="1:34" x14ac:dyDescent="0.25">
      <c r="A105" s="118">
        <f t="shared" si="52"/>
        <v>97</v>
      </c>
      <c r="B105" s="14">
        <v>394</v>
      </c>
      <c r="C105" s="21" t="s">
        <v>497</v>
      </c>
      <c r="D105" s="21" t="s">
        <v>498</v>
      </c>
      <c r="E105" s="20">
        <v>965035</v>
      </c>
      <c r="F105" s="1">
        <v>107</v>
      </c>
      <c r="G105" s="1">
        <f>VLOOKUP($F105,AF!$B$39:$M$80,G$9)*$E105</f>
        <v>747.78064100154654</v>
      </c>
      <c r="H105" s="1">
        <f>VLOOKUP($F105,AF!$B$39:$M$80,H$9)*$E105</f>
        <v>3738.903205007733</v>
      </c>
      <c r="I105" s="1">
        <f>VLOOKUP($F105,AF!$B$39:$M$80,I$9)*$E105</f>
        <v>3738.903205007733</v>
      </c>
      <c r="J105" s="1">
        <f>VLOOKUP($F105,AF!$B$39:$M$80,J$9)*$E105</f>
        <v>0</v>
      </c>
      <c r="K105" s="1">
        <f>VLOOKUP($F105,AF!$B$39:$M$80,K$9)*$E105</f>
        <v>11964.490256024745</v>
      </c>
      <c r="L105" s="1">
        <f>VLOOKUP($F105,AF!$B$39:$M$80,L$9)*$E105</f>
        <v>0</v>
      </c>
      <c r="M105" s="1">
        <f>VLOOKUP($F105,AF!$B$39:$M$80,M$9)*$E105</f>
        <v>0</v>
      </c>
      <c r="N105" s="1">
        <f>VLOOKUP($F105,AF!$B$39:$M$80,N$9)*$E105</f>
        <v>0</v>
      </c>
      <c r="O105" s="1">
        <f t="shared" si="63"/>
        <v>944844.92269295827</v>
      </c>
      <c r="Q105" s="8">
        <f t="shared" si="64"/>
        <v>16451.174102034023</v>
      </c>
      <c r="R105" s="8">
        <f t="shared" si="65"/>
        <v>3738.903205007733</v>
      </c>
      <c r="S105" s="17">
        <f t="shared" si="66"/>
        <v>965035</v>
      </c>
      <c r="U105" s="118">
        <v>305</v>
      </c>
      <c r="V105" s="67">
        <f ca="1">VLOOKUP($U105,AF!$B$39:$M$80,V$9)*G105</f>
        <v>585.09822231061753</v>
      </c>
      <c r="W105" s="67">
        <f ca="1">VLOOKUP($U105,AF!$B$39:$M$80,W$9)*H105</f>
        <v>1032.565654494691</v>
      </c>
      <c r="X105" s="67">
        <f ca="1">VLOOKUP($U105,AF!$B$39:$M$80,X$9)*I105</f>
        <v>2283.4935334319416</v>
      </c>
      <c r="Y105" s="67">
        <f ca="1">VLOOKUP($U105,AF!$B$39:$M$80,Y$9)*J105</f>
        <v>0</v>
      </c>
      <c r="Z105" s="67">
        <f ca="1">VLOOKUP($U105,AF!$B$39:$M$80,Z$9)*K105</f>
        <v>3503.1122459774574</v>
      </c>
      <c r="AA105" s="67">
        <f ca="1">VLOOKUP($U105,AF!$B$39:$M$80,AA$9)*L105</f>
        <v>0</v>
      </c>
      <c r="AB105" s="67">
        <f ca="1">VLOOKUP($U105,AF!$B$39:$M$80,AB$9)*M105</f>
        <v>0</v>
      </c>
      <c r="AC105" s="67">
        <f ca="1">VLOOKUP($U105,AF!$B$39:$M$80,AC$9)*N105</f>
        <v>0</v>
      </c>
      <c r="AD105" s="67">
        <f t="shared" ca="1" si="67"/>
        <v>957630.73034378525</v>
      </c>
      <c r="AF105" s="8">
        <f t="shared" ca="1" si="68"/>
        <v>6371.704001720017</v>
      </c>
      <c r="AG105" s="8">
        <f t="shared" ca="1" si="69"/>
        <v>1032.565654494691</v>
      </c>
      <c r="AH105" s="67">
        <f t="shared" ca="1" si="70"/>
        <v>965035</v>
      </c>
    </row>
    <row r="106" spans="1:34" x14ac:dyDescent="0.25">
      <c r="A106" s="118">
        <f t="shared" si="52"/>
        <v>98</v>
      </c>
      <c r="B106" s="14">
        <v>395</v>
      </c>
      <c r="C106" s="21" t="s">
        <v>499</v>
      </c>
      <c r="D106" s="21" t="s">
        <v>500</v>
      </c>
      <c r="E106" s="20">
        <v>8365</v>
      </c>
      <c r="F106" s="1">
        <v>107</v>
      </c>
      <c r="G106" s="1">
        <f>VLOOKUP($F106,AF!$B$39:$M$80,G$9)*$E106</f>
        <v>6.4818219670560513</v>
      </c>
      <c r="H106" s="1">
        <f>VLOOKUP($F106,AF!$B$39:$M$80,H$9)*$E106</f>
        <v>32.409109835280262</v>
      </c>
      <c r="I106" s="1">
        <f>VLOOKUP($F106,AF!$B$39:$M$80,I$9)*$E106</f>
        <v>32.409109835280262</v>
      </c>
      <c r="J106" s="1">
        <f>VLOOKUP($F106,AF!$B$39:$M$80,J$9)*$E106</f>
        <v>0</v>
      </c>
      <c r="K106" s="1">
        <f>VLOOKUP($F106,AF!$B$39:$M$80,K$9)*$E106</f>
        <v>103.70915147289682</v>
      </c>
      <c r="L106" s="1">
        <f>VLOOKUP($F106,AF!$B$39:$M$80,L$9)*$E106</f>
        <v>0</v>
      </c>
      <c r="M106" s="1">
        <f>VLOOKUP($F106,AF!$B$39:$M$80,M$9)*$E106</f>
        <v>0</v>
      </c>
      <c r="N106" s="1">
        <f>VLOOKUP($F106,AF!$B$39:$M$80,N$9)*$E106</f>
        <v>0</v>
      </c>
      <c r="O106" s="1">
        <f t="shared" si="63"/>
        <v>8189.9908068894865</v>
      </c>
      <c r="Q106" s="8">
        <f t="shared" si="64"/>
        <v>142.60008327523312</v>
      </c>
      <c r="R106" s="8">
        <f t="shared" si="65"/>
        <v>32.409109835280262</v>
      </c>
      <c r="S106" s="17">
        <f t="shared" si="66"/>
        <v>8365</v>
      </c>
      <c r="U106" s="118">
        <v>305</v>
      </c>
      <c r="V106" s="67">
        <f ca="1">VLOOKUP($U106,AF!$B$39:$M$80,V$9)*G106</f>
        <v>5.0716778454960858</v>
      </c>
      <c r="W106" s="67">
        <f ca="1">VLOOKUP($U106,AF!$B$39:$M$80,W$9)*H106</f>
        <v>8.9503610748295035</v>
      </c>
      <c r="X106" s="67">
        <f ca="1">VLOOKUP($U106,AF!$B$39:$M$80,X$9)*I106</f>
        <v>19.793503248232646</v>
      </c>
      <c r="Y106" s="67">
        <f ca="1">VLOOKUP($U106,AF!$B$39:$M$80,Y$9)*J106</f>
        <v>0</v>
      </c>
      <c r="Z106" s="67">
        <f ca="1">VLOOKUP($U106,AF!$B$39:$M$80,Z$9)*K106</f>
        <v>30.365255081527021</v>
      </c>
      <c r="AA106" s="67">
        <f ca="1">VLOOKUP($U106,AF!$B$39:$M$80,AA$9)*L106</f>
        <v>0</v>
      </c>
      <c r="AB106" s="67">
        <f ca="1">VLOOKUP($U106,AF!$B$39:$M$80,AB$9)*M106</f>
        <v>0</v>
      </c>
      <c r="AC106" s="67">
        <f ca="1">VLOOKUP($U106,AF!$B$39:$M$80,AC$9)*N106</f>
        <v>0</v>
      </c>
      <c r="AD106" s="67">
        <f t="shared" ca="1" si="67"/>
        <v>8300.8192027499153</v>
      </c>
      <c r="AF106" s="8">
        <f t="shared" ca="1" si="68"/>
        <v>55.230436175255747</v>
      </c>
      <c r="AG106" s="8">
        <f t="shared" ca="1" si="69"/>
        <v>8.9503610748295035</v>
      </c>
      <c r="AH106" s="67">
        <f t="shared" ca="1" si="70"/>
        <v>8365</v>
      </c>
    </row>
    <row r="107" spans="1:34" x14ac:dyDescent="0.25">
      <c r="A107" s="118">
        <f t="shared" si="52"/>
        <v>99</v>
      </c>
      <c r="B107" s="14">
        <v>396</v>
      </c>
      <c r="C107" s="21" t="s">
        <v>501</v>
      </c>
      <c r="D107" s="21" t="s">
        <v>502</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25">
      <c r="A108" s="118">
        <f t="shared" si="52"/>
        <v>100</v>
      </c>
      <c r="B108" s="14">
        <v>397</v>
      </c>
      <c r="C108" s="21" t="s">
        <v>88</v>
      </c>
      <c r="D108" s="21" t="s">
        <v>93</v>
      </c>
      <c r="E108" s="20">
        <v>117360</v>
      </c>
      <c r="F108" s="1">
        <v>107</v>
      </c>
      <c r="G108" s="1">
        <f>VLOOKUP($F108,AF!$B$39:$M$80,G$9)*$E108</f>
        <v>90.939226067387708</v>
      </c>
      <c r="H108" s="1">
        <f>VLOOKUP($F108,AF!$B$39:$M$80,H$9)*$E108</f>
        <v>454.69613033693861</v>
      </c>
      <c r="I108" s="1">
        <f>VLOOKUP($F108,AF!$B$39:$M$80,I$9)*$E108</f>
        <v>454.69613033693861</v>
      </c>
      <c r="J108" s="1">
        <f>VLOOKUP($F108,AF!$B$39:$M$80,J$9)*$E108</f>
        <v>0</v>
      </c>
      <c r="K108" s="1">
        <f>VLOOKUP($F108,AF!$B$39:$M$80,K$9)*$E108</f>
        <v>1455.0276170782033</v>
      </c>
      <c r="L108" s="1">
        <f>VLOOKUP($F108,AF!$B$39:$M$80,L$9)*$E108</f>
        <v>0</v>
      </c>
      <c r="M108" s="1">
        <f>VLOOKUP($F108,AF!$B$39:$M$80,M$9)*$E108</f>
        <v>0</v>
      </c>
      <c r="N108" s="1">
        <f>VLOOKUP($F108,AF!$B$39:$M$80,N$9)*$E108</f>
        <v>0</v>
      </c>
      <c r="O108" s="1">
        <f t="shared" si="63"/>
        <v>114904.64089618053</v>
      </c>
      <c r="Q108" s="8">
        <f t="shared" si="64"/>
        <v>2000.6629734825297</v>
      </c>
      <c r="R108" s="8">
        <f t="shared" si="65"/>
        <v>454.69613033693861</v>
      </c>
      <c r="S108" s="17">
        <f t="shared" si="66"/>
        <v>117360</v>
      </c>
      <c r="U108" s="118">
        <v>305</v>
      </c>
      <c r="V108" s="67">
        <f ca="1">VLOOKUP($U108,AF!$B$39:$M$80,V$9)*G108</f>
        <v>71.155064189769348</v>
      </c>
      <c r="W108" s="67">
        <f ca="1">VLOOKUP($U108,AF!$B$39:$M$80,W$9)*H108</f>
        <v>125.57254940131386</v>
      </c>
      <c r="X108" s="67">
        <f ca="1">VLOOKUP($U108,AF!$B$39:$M$80,X$9)*I108</f>
        <v>277.7006026554194</v>
      </c>
      <c r="Y108" s="67">
        <f ca="1">VLOOKUP($U108,AF!$B$39:$M$80,Y$9)*J108</f>
        <v>0</v>
      </c>
      <c r="Z108" s="67">
        <f ca="1">VLOOKUP($U108,AF!$B$39:$M$80,Z$9)*K108</f>
        <v>426.02108025917647</v>
      </c>
      <c r="AA108" s="67">
        <f ca="1">VLOOKUP($U108,AF!$B$39:$M$80,AA$9)*L108</f>
        <v>0</v>
      </c>
      <c r="AB108" s="67">
        <f ca="1">VLOOKUP($U108,AF!$B$39:$M$80,AB$9)*M108</f>
        <v>0</v>
      </c>
      <c r="AC108" s="67">
        <f ca="1">VLOOKUP($U108,AF!$B$39:$M$80,AC$9)*N108</f>
        <v>0</v>
      </c>
      <c r="AD108" s="67">
        <f t="shared" ca="1" si="67"/>
        <v>116459.55070349431</v>
      </c>
      <c r="AF108" s="8">
        <f t="shared" ca="1" si="68"/>
        <v>774.87674710436522</v>
      </c>
      <c r="AG108" s="8">
        <f t="shared" ca="1" si="69"/>
        <v>125.57254940131386</v>
      </c>
      <c r="AH108" s="67">
        <f t="shared" ca="1" si="70"/>
        <v>117360</v>
      </c>
    </row>
    <row r="109" spans="1:34" x14ac:dyDescent="0.25">
      <c r="A109" s="118">
        <f t="shared" si="52"/>
        <v>101</v>
      </c>
      <c r="B109" s="14">
        <v>398</v>
      </c>
      <c r="C109" s="21" t="s">
        <v>89</v>
      </c>
      <c r="D109" s="21" t="s">
        <v>94</v>
      </c>
      <c r="E109" s="20">
        <v>149017</v>
      </c>
      <c r="F109" s="1">
        <v>107</v>
      </c>
      <c r="G109" s="1">
        <f>VLOOKUP($F109,AF!$B$39:$M$80,G$9)*$E109</f>
        <v>115.46941590732716</v>
      </c>
      <c r="H109" s="1">
        <f>VLOOKUP($F109,AF!$B$39:$M$80,H$9)*$E109</f>
        <v>577.34707953663587</v>
      </c>
      <c r="I109" s="1">
        <f>VLOOKUP($F109,AF!$B$39:$M$80,I$9)*$E109</f>
        <v>577.34707953663587</v>
      </c>
      <c r="J109" s="1">
        <f>VLOOKUP($F109,AF!$B$39:$M$80,J$9)*$E109</f>
        <v>0</v>
      </c>
      <c r="K109" s="1">
        <f>VLOOKUP($F109,AF!$B$39:$M$80,K$9)*$E109</f>
        <v>1847.5106545172346</v>
      </c>
      <c r="L109" s="1">
        <f>VLOOKUP($F109,AF!$B$39:$M$80,L$9)*$E109</f>
        <v>0</v>
      </c>
      <c r="M109" s="1">
        <f>VLOOKUP($F109,AF!$B$39:$M$80,M$9)*$E109</f>
        <v>0</v>
      </c>
      <c r="N109" s="1">
        <f>VLOOKUP($F109,AF!$B$39:$M$80,N$9)*$E109</f>
        <v>0</v>
      </c>
      <c r="O109" s="1">
        <f t="shared" si="63"/>
        <v>145899.32577050215</v>
      </c>
      <c r="Q109" s="8">
        <f t="shared" si="64"/>
        <v>2540.3271499611974</v>
      </c>
      <c r="R109" s="8">
        <f t="shared" si="65"/>
        <v>577.34707953663587</v>
      </c>
      <c r="S109" s="17">
        <f t="shared" si="66"/>
        <v>149017</v>
      </c>
      <c r="U109" s="118">
        <v>305</v>
      </c>
      <c r="V109" s="67">
        <f ca="1">VLOOKUP($U109,AF!$B$39:$M$80,V$9)*G109</f>
        <v>90.348621339185925</v>
      </c>
      <c r="W109" s="67">
        <f ca="1">VLOOKUP($U109,AF!$B$39:$M$80,W$9)*H109</f>
        <v>159.44482442174157</v>
      </c>
      <c r="X109" s="67">
        <f ca="1">VLOOKUP($U109,AF!$B$39:$M$80,X$9)*I109</f>
        <v>352.60830526501906</v>
      </c>
      <c r="Y109" s="67">
        <f ca="1">VLOOKUP($U109,AF!$B$39:$M$80,Y$9)*J109</f>
        <v>0</v>
      </c>
      <c r="Z109" s="67">
        <f ca="1">VLOOKUP($U109,AF!$B$39:$M$80,Z$9)*K109</f>
        <v>540.93714482772418</v>
      </c>
      <c r="AA109" s="67">
        <f ca="1">VLOOKUP($U109,AF!$B$39:$M$80,AA$9)*L109</f>
        <v>0</v>
      </c>
      <c r="AB109" s="67">
        <f ca="1">VLOOKUP($U109,AF!$B$39:$M$80,AB$9)*M109</f>
        <v>0</v>
      </c>
      <c r="AC109" s="67">
        <f ca="1">VLOOKUP($U109,AF!$B$39:$M$80,AC$9)*N109</f>
        <v>0</v>
      </c>
      <c r="AD109" s="67">
        <f t="shared" ca="1" si="67"/>
        <v>147873.66110414633</v>
      </c>
      <c r="AF109" s="8">
        <f t="shared" ca="1" si="68"/>
        <v>983.89407143192921</v>
      </c>
      <c r="AG109" s="8">
        <f t="shared" ca="1" si="69"/>
        <v>159.44482442174157</v>
      </c>
      <c r="AH109" s="67">
        <f t="shared" ca="1" si="70"/>
        <v>149017</v>
      </c>
    </row>
    <row r="110" spans="1:34" x14ac:dyDescent="0.25">
      <c r="A110" s="118">
        <f t="shared" si="52"/>
        <v>102</v>
      </c>
      <c r="B110" s="14">
        <v>399</v>
      </c>
      <c r="C110" s="21" t="s">
        <v>505</v>
      </c>
      <c r="D110" s="21" t="s">
        <v>95</v>
      </c>
      <c r="E110" s="20">
        <v>4105353</v>
      </c>
      <c r="F110" s="1">
        <v>107</v>
      </c>
      <c r="G110" s="1">
        <f>VLOOKUP($F110,AF!$B$39:$M$80,G$9)*$E110</f>
        <v>3181.1317702234865</v>
      </c>
      <c r="H110" s="1">
        <f>VLOOKUP($F110,AF!$B$39:$M$80,H$9)*$E110</f>
        <v>15905.658851117434</v>
      </c>
      <c r="I110" s="1">
        <f>VLOOKUP($F110,AF!$B$39:$M$80,I$9)*$E110</f>
        <v>15905.658851117434</v>
      </c>
      <c r="J110" s="1">
        <f>VLOOKUP($F110,AF!$B$39:$M$80,J$9)*$E110</f>
        <v>0</v>
      </c>
      <c r="K110" s="1">
        <f>VLOOKUP($F110,AF!$B$39:$M$80,K$9)*$E110</f>
        <v>50898.108323575783</v>
      </c>
      <c r="L110" s="1">
        <f>VLOOKUP($F110,AF!$B$39:$M$80,L$9)*$E110</f>
        <v>0</v>
      </c>
      <c r="M110" s="1">
        <f>VLOOKUP($F110,AF!$B$39:$M$80,M$9)*$E110</f>
        <v>0</v>
      </c>
      <c r="N110" s="1">
        <f>VLOOKUP($F110,AF!$B$39:$M$80,N$9)*$E110</f>
        <v>0</v>
      </c>
      <c r="O110" s="1">
        <f t="shared" si="63"/>
        <v>4019462.442203966</v>
      </c>
      <c r="Q110" s="8">
        <f t="shared" si="64"/>
        <v>69984.898944916698</v>
      </c>
      <c r="R110" s="8">
        <f t="shared" si="65"/>
        <v>15905.658851117434</v>
      </c>
      <c r="S110" s="17">
        <f t="shared" si="66"/>
        <v>4105353</v>
      </c>
      <c r="U110" s="118">
        <v>305</v>
      </c>
      <c r="V110" s="67">
        <f ca="1">VLOOKUP($U110,AF!$B$39:$M$80,V$9)*G110</f>
        <v>2489.0648963587441</v>
      </c>
      <c r="W110" s="67">
        <f ca="1">VLOOKUP($U110,AF!$B$39:$M$80,W$9)*H110</f>
        <v>4392.6349897949221</v>
      </c>
      <c r="X110" s="67">
        <f ca="1">VLOOKUP($U110,AF!$B$39:$M$80,X$9)*I110</f>
        <v>9714.2041770043797</v>
      </c>
      <c r="Y110" s="67">
        <f ca="1">VLOOKUP($U110,AF!$B$39:$M$80,Y$9)*J110</f>
        <v>0</v>
      </c>
      <c r="Z110" s="67">
        <f ca="1">VLOOKUP($U110,AF!$B$39:$M$80,Z$9)*K110</f>
        <v>14902.58111712041</v>
      </c>
      <c r="AA110" s="67">
        <f ca="1">VLOOKUP($U110,AF!$B$39:$M$80,AA$9)*L110</f>
        <v>0</v>
      </c>
      <c r="AB110" s="67">
        <f ca="1">VLOOKUP($U110,AF!$B$39:$M$80,AB$9)*M110</f>
        <v>0</v>
      </c>
      <c r="AC110" s="67">
        <f ca="1">VLOOKUP($U110,AF!$B$39:$M$80,AC$9)*N110</f>
        <v>0</v>
      </c>
      <c r="AD110" s="67">
        <f t="shared" ca="1" si="67"/>
        <v>4073854.5148197217</v>
      </c>
      <c r="AF110" s="8">
        <f t="shared" ca="1" si="68"/>
        <v>27105.850190483536</v>
      </c>
      <c r="AG110" s="8">
        <f t="shared" ca="1" si="69"/>
        <v>4392.6349897949221</v>
      </c>
      <c r="AH110" s="67">
        <f t="shared" ca="1" si="70"/>
        <v>4105353</v>
      </c>
    </row>
    <row r="111" spans="1:34" x14ac:dyDescent="0.25">
      <c r="A111" s="118">
        <f t="shared" si="52"/>
        <v>103</v>
      </c>
      <c r="B111" s="14">
        <v>399.1</v>
      </c>
      <c r="C111" s="21" t="s">
        <v>503</v>
      </c>
      <c r="D111" s="21" t="s">
        <v>504</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25">
      <c r="A112" s="118">
        <f t="shared" si="52"/>
        <v>104</v>
      </c>
      <c r="C112" s="21" t="s">
        <v>0</v>
      </c>
      <c r="E112" s="32">
        <f>SUM(E100:E111)</f>
        <v>25091729</v>
      </c>
      <c r="G112" s="32">
        <f>SUM(G100:G111)</f>
        <v>19442.931287939915</v>
      </c>
      <c r="H112" s="32">
        <f>SUM(H100:H111)</f>
        <v>97214.656439699567</v>
      </c>
      <c r="I112" s="32">
        <f>SUM(I100:I111)</f>
        <v>97214.656439699567</v>
      </c>
      <c r="J112" s="32">
        <f t="shared" ref="J112" si="71">SUM(J100:J111)</f>
        <v>0</v>
      </c>
      <c r="K112" s="32">
        <f>SUM(K100:K111)</f>
        <v>311086.90060703864</v>
      </c>
      <c r="L112" s="32">
        <f t="shared" ref="L112" si="72">SUM(L100:L111)</f>
        <v>0</v>
      </c>
      <c r="M112" s="32">
        <f>SUM(M100:M111)</f>
        <v>0</v>
      </c>
      <c r="N112" s="32">
        <f t="shared" ref="N112" si="73">SUM(N100:N111)</f>
        <v>0</v>
      </c>
      <c r="O112" s="32">
        <f>SUM(O100:O111)</f>
        <v>24566769.855225623</v>
      </c>
      <c r="Q112" s="61">
        <f>SUM(Q100:Q111)</f>
        <v>427744.48833467811</v>
      </c>
      <c r="R112" s="61">
        <f t="shared" ref="R112" si="74">SUM(R100:R111)</f>
        <v>97214.656439699567</v>
      </c>
      <c r="S112" s="32">
        <f>SUM(S100:S111)</f>
        <v>25091729</v>
      </c>
      <c r="U112" s="118"/>
      <c r="V112" s="32">
        <f t="shared" ref="V112:W112" ca="1" si="75">SUM(V100:V111)</f>
        <v>15213.050337655908</v>
      </c>
      <c r="W112" s="32">
        <f t="shared" ca="1" si="75"/>
        <v>26847.58332836469</v>
      </c>
      <c r="X112" s="32">
        <f t="shared" ref="X112:Y112" ca="1" si="76">SUM(X100:X111)</f>
        <v>59372.769810552709</v>
      </c>
      <c r="Y112" s="32">
        <f t="shared" ca="1" si="76"/>
        <v>0</v>
      </c>
      <c r="Z112" s="32">
        <f t="shared" ref="Z112:AC112" ca="1" si="77">SUM(Z100:Z111)</f>
        <v>91083.891395283805</v>
      </c>
      <c r="AA112" s="32">
        <f t="shared" ca="1" si="77"/>
        <v>0</v>
      </c>
      <c r="AB112" s="32">
        <f t="shared" ca="1" si="77"/>
        <v>0</v>
      </c>
      <c r="AC112" s="32">
        <f t="shared" ca="1" si="77"/>
        <v>0</v>
      </c>
      <c r="AD112" s="32">
        <f ca="1">SUM(AD100:AD111)</f>
        <v>24899211.705128148</v>
      </c>
      <c r="AF112" s="61">
        <f ca="1">SUM(AF100:AF111)</f>
        <v>165669.71154349239</v>
      </c>
      <c r="AG112" s="61">
        <f ca="1">SUM(AG100:AG111)</f>
        <v>26847.58332836469</v>
      </c>
      <c r="AH112" s="32">
        <f ca="1">SUM(AH100:AH111)</f>
        <v>25091729</v>
      </c>
    </row>
    <row r="113" spans="1:34" ht="15.75" thickBot="1" x14ac:dyDescent="0.3">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5.75" thickTop="1" x14ac:dyDescent="0.25">
      <c r="A114" s="118">
        <f t="shared" si="52"/>
        <v>106</v>
      </c>
      <c r="C114" s="21" t="s">
        <v>96</v>
      </c>
      <c r="E114" s="1">
        <f>E13+E24+E35+E60+E87+E97+E112</f>
        <v>1087698727</v>
      </c>
      <c r="G114" s="1">
        <f t="shared" ref="G114:O114" si="78">G13+G24+G35+G60+G87+G97+G112</f>
        <v>5396983.5550674675</v>
      </c>
      <c r="H114" s="1">
        <f t="shared" si="78"/>
        <v>5546196.255337337</v>
      </c>
      <c r="I114" s="1">
        <f t="shared" si="78"/>
        <v>25487020.035337336</v>
      </c>
      <c r="J114" s="1">
        <f t="shared" si="78"/>
        <v>0</v>
      </c>
      <c r="K114" s="1">
        <f t="shared" si="78"/>
        <v>68136879.141079471</v>
      </c>
      <c r="L114" s="1">
        <f t="shared" si="78"/>
        <v>0</v>
      </c>
      <c r="M114" s="1">
        <f t="shared" si="78"/>
        <v>0</v>
      </c>
      <c r="N114" s="1">
        <f t="shared" si="78"/>
        <v>0</v>
      </c>
      <c r="O114" s="1">
        <f t="shared" si="78"/>
        <v>983131647.54317832</v>
      </c>
      <c r="Q114" s="8">
        <f>Q13+Q24+Q35+Q60+Q87+Q97+Q112</f>
        <v>99020882.731484294</v>
      </c>
      <c r="R114" s="8">
        <f>R13+R24+R35+R60+R87+R97+R112</f>
        <v>5546196.255337337</v>
      </c>
      <c r="S114" s="1">
        <f>S13+S24+S35+S60+S87+S97+S112</f>
        <v>1087698726.53</v>
      </c>
      <c r="U114" s="118"/>
      <c r="V114" s="1">
        <f t="shared" ref="V114:AD114" ca="1" si="79">V13+V24+V35+V60+V87+V97+V112</f>
        <v>4226015.3598521827</v>
      </c>
      <c r="W114" s="1">
        <f t="shared" ca="1" si="79"/>
        <v>1584340.1933360023</v>
      </c>
      <c r="X114" s="1">
        <f t="shared" ca="1" si="79"/>
        <v>15594232.205228191</v>
      </c>
      <c r="Y114" s="1">
        <f t="shared" ca="1" si="79"/>
        <v>0</v>
      </c>
      <c r="Z114" s="1">
        <f t="shared" ca="1" si="79"/>
        <v>20114598.064162724</v>
      </c>
      <c r="AA114" s="1">
        <f t="shared" ca="1" si="79"/>
        <v>0</v>
      </c>
      <c r="AB114" s="1">
        <f t="shared" ca="1" si="79"/>
        <v>0</v>
      </c>
      <c r="AC114" s="1">
        <f t="shared" ca="1" si="79"/>
        <v>0</v>
      </c>
      <c r="AD114" s="1">
        <f t="shared" ca="1" si="79"/>
        <v>1046179541.1774209</v>
      </c>
      <c r="AF114" s="8">
        <f ca="1">AF13+AF24+AF35+AF60+AF87+AF97+AF112</f>
        <v>39934845.629243098</v>
      </c>
      <c r="AG114" s="8">
        <f ca="1">AG13+AG24+AG35+AG60+AG87+AG97+AG112</f>
        <v>1584340.1933360023</v>
      </c>
      <c r="AH114" s="1">
        <f t="shared" ref="AH114" ca="1" si="80">AH13+AH24+AH35+AH60+AH87+AH97+AH112</f>
        <v>1087698727</v>
      </c>
    </row>
    <row r="115" spans="1:34" x14ac:dyDescent="0.25">
      <c r="A115" s="118">
        <f t="shared" si="52"/>
        <v>107</v>
      </c>
      <c r="C115" s="21" t="s">
        <v>675</v>
      </c>
      <c r="E115" s="1"/>
      <c r="F115" s="118">
        <v>109</v>
      </c>
      <c r="G115" s="13">
        <f>IFERROR(G114/$E$114,0)</f>
        <v>4.9618367854056223E-3</v>
      </c>
      <c r="H115" s="13">
        <f t="shared" ref="H115:O115" si="81">IFERROR(H114/$E$114,0)</f>
        <v>5.0990187978194965E-3</v>
      </c>
      <c r="I115" s="13">
        <f t="shared" si="81"/>
        <v>2.3432058347290258E-2</v>
      </c>
      <c r="J115" s="13">
        <f t="shared" si="81"/>
        <v>0</v>
      </c>
      <c r="K115" s="13">
        <f t="shared" si="81"/>
        <v>6.2643154257437564E-2</v>
      </c>
      <c r="L115" s="13">
        <f t="shared" si="81"/>
        <v>0</v>
      </c>
      <c r="M115" s="13">
        <f t="shared" si="81"/>
        <v>0</v>
      </c>
      <c r="N115" s="13">
        <f t="shared" si="81"/>
        <v>0</v>
      </c>
      <c r="O115" s="13">
        <f t="shared" si="81"/>
        <v>0.90386393137994203</v>
      </c>
      <c r="Q115" s="13">
        <f t="shared" ref="Q115:S115" si="82">IFERROR(Q114/$E$114,0)</f>
        <v>9.1037049390133462E-2</v>
      </c>
      <c r="R115" s="13">
        <f t="shared" si="82"/>
        <v>5.0990187978194965E-3</v>
      </c>
      <c r="S115" s="13">
        <f t="shared" si="82"/>
        <v>0.99999999956789498</v>
      </c>
      <c r="U115" s="118"/>
      <c r="V115" s="1"/>
      <c r="W115" s="1"/>
      <c r="X115" s="1"/>
      <c r="Y115" s="1"/>
      <c r="Z115" s="1"/>
      <c r="AA115" s="1"/>
      <c r="AB115" s="1"/>
      <c r="AC115" s="1"/>
      <c r="AD115" s="1"/>
      <c r="AF115" s="13">
        <f ca="1">IFERROR(AF114/$E$114,0)</f>
        <v>3.6714987926287329E-2</v>
      </c>
      <c r="AG115" s="13">
        <f ca="1">IFERROR(AG114/$E$114,0)</f>
        <v>1.4565983704934522E-3</v>
      </c>
      <c r="AH115" s="1"/>
    </row>
    <row r="116" spans="1:34" x14ac:dyDescent="0.25">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25">
      <c r="A117" s="118">
        <f t="shared" si="52"/>
        <v>109</v>
      </c>
      <c r="C117" s="21" t="s">
        <v>710</v>
      </c>
      <c r="E117" s="1">
        <f ca="1">SUM(G117:O117)</f>
        <v>145900298.59</v>
      </c>
      <c r="F117" s="118">
        <v>100</v>
      </c>
      <c r="G117" s="110">
        <f t="shared" ref="G117:O117" ca="1" si="83">SUMIF($F$38:$O$87,$F$117,G38:G87)</f>
        <v>5362990.8599999994</v>
      </c>
      <c r="H117" s="110">
        <f t="shared" ca="1" si="83"/>
        <v>5376232.7800000003</v>
      </c>
      <c r="I117" s="110">
        <f t="shared" ca="1" si="83"/>
        <v>25317056.560000002</v>
      </c>
      <c r="J117" s="110">
        <f t="shared" ca="1" si="83"/>
        <v>0</v>
      </c>
      <c r="K117" s="110">
        <f t="shared" ca="1" si="83"/>
        <v>67592996.019999996</v>
      </c>
      <c r="L117" s="110">
        <f t="shared" ca="1" si="83"/>
        <v>0</v>
      </c>
      <c r="M117" s="110">
        <f t="shared" ca="1" si="83"/>
        <v>0</v>
      </c>
      <c r="N117" s="110">
        <f t="shared" ca="1" si="83"/>
        <v>0</v>
      </c>
      <c r="O117" s="110">
        <f t="shared" ca="1" si="83"/>
        <v>42251022.370000005</v>
      </c>
      <c r="Q117" s="110">
        <f ca="1">SUMIF($F$38:$O$87,$F$117,Q38:Q87)</f>
        <v>98273043.439999998</v>
      </c>
      <c r="R117" s="110">
        <f ca="1">SUMIF($F$38:$O$87,$F$117,R38:R87)</f>
        <v>5376232.7800000003</v>
      </c>
      <c r="S117" s="110">
        <f ca="1">SUMIF($F$38:$O$87,$F$117,S38:S87)</f>
        <v>145900298.58999997</v>
      </c>
      <c r="U117" s="118"/>
      <c r="V117" s="110">
        <f ca="1">SUMIF($F$38:$O$87,$F$117,V38:V87)</f>
        <v>4196252.5457349997</v>
      </c>
      <c r="W117" s="1">
        <f t="shared" ref="W117:AD117" si="84">W39+W41+W43+W45+W47+W49+W51+W53+W55+W57+W59+W64+W66+W68+W70+W72+W74+W76+W78+W80</f>
        <v>1484743.7911100001</v>
      </c>
      <c r="X117" s="1">
        <f t="shared" si="84"/>
        <v>15462110.616520001</v>
      </c>
      <c r="Y117" s="1">
        <f t="shared" si="84"/>
        <v>0</v>
      </c>
      <c r="Z117" s="1">
        <f t="shared" si="84"/>
        <v>19790717.952295002</v>
      </c>
      <c r="AA117" s="1">
        <f t="shared" si="84"/>
        <v>0</v>
      </c>
      <c r="AB117" s="1">
        <f t="shared" si="84"/>
        <v>0</v>
      </c>
      <c r="AC117" s="1">
        <f t="shared" si="84"/>
        <v>0</v>
      </c>
      <c r="AD117" s="1">
        <f t="shared" si="84"/>
        <v>104966473.68434</v>
      </c>
      <c r="AF117" s="13"/>
      <c r="AG117" s="13"/>
      <c r="AH117" s="85"/>
    </row>
    <row r="118" spans="1:34" x14ac:dyDescent="0.25">
      <c r="A118" s="118">
        <f t="shared" si="52"/>
        <v>110</v>
      </c>
      <c r="F118" s="118"/>
      <c r="U118" s="118"/>
    </row>
    <row r="119" spans="1:34" x14ac:dyDescent="0.25">
      <c r="A119" s="118">
        <f t="shared" si="52"/>
        <v>111</v>
      </c>
      <c r="C119" s="21" t="s">
        <v>79</v>
      </c>
      <c r="E119" s="22">
        <f>+E60</f>
        <v>68401489</v>
      </c>
      <c r="F119" s="118"/>
      <c r="G119" s="22">
        <f t="shared" ref="G119:O119" si="85">+G60</f>
        <v>4094705.7537795273</v>
      </c>
      <c r="H119" s="22">
        <f t="shared" si="85"/>
        <v>1173836.8088976378</v>
      </c>
      <c r="I119" s="22">
        <f t="shared" si="85"/>
        <v>14561522.718897639</v>
      </c>
      <c r="J119" s="22">
        <f t="shared" si="85"/>
        <v>0</v>
      </c>
      <c r="K119" s="22">
        <f t="shared" si="85"/>
        <v>15266937.850472441</v>
      </c>
      <c r="L119" s="22">
        <f t="shared" si="85"/>
        <v>0</v>
      </c>
      <c r="M119" s="22">
        <f t="shared" si="85"/>
        <v>0</v>
      </c>
      <c r="N119" s="22">
        <f t="shared" si="85"/>
        <v>0</v>
      </c>
      <c r="O119" s="22">
        <f t="shared" si="85"/>
        <v>33304485.867952757</v>
      </c>
      <c r="Q119" s="8">
        <f>+O119+M119+K119+I119+G119</f>
        <v>67227652.191102371</v>
      </c>
      <c r="R119" s="8">
        <f>+N119+L119+J119+H119</f>
        <v>1173836.8088976378</v>
      </c>
      <c r="S119" s="17">
        <f>Q119+R119</f>
        <v>68401489.000000015</v>
      </c>
      <c r="U119" s="118"/>
      <c r="V119" s="22">
        <f t="shared" ref="V119:AD119" si="86">+V60</f>
        <v>4094705.7537795273</v>
      </c>
      <c r="W119" s="22">
        <f t="shared" si="86"/>
        <v>1173836.8088976378</v>
      </c>
      <c r="X119" s="22">
        <f t="shared" si="86"/>
        <v>14561522.718897639</v>
      </c>
      <c r="Y119" s="22">
        <f t="shared" si="86"/>
        <v>0</v>
      </c>
      <c r="Z119" s="22">
        <f t="shared" si="86"/>
        <v>15266937.850472441</v>
      </c>
      <c r="AA119" s="22">
        <f t="shared" si="86"/>
        <v>0</v>
      </c>
      <c r="AB119" s="22">
        <f t="shared" si="86"/>
        <v>0</v>
      </c>
      <c r="AC119" s="22">
        <f t="shared" si="86"/>
        <v>0</v>
      </c>
      <c r="AD119" s="22">
        <f t="shared" si="86"/>
        <v>33304485.867952757</v>
      </c>
      <c r="AF119" s="8">
        <f t="shared" ref="AF119:AG121" si="87">+AB119+Z119+X119+V119</f>
        <v>33923166.323149607</v>
      </c>
      <c r="AG119" s="8">
        <f t="shared" si="87"/>
        <v>1173836.8088976378</v>
      </c>
      <c r="AH119" s="67">
        <f>+AF119+AG119+AD119</f>
        <v>68401489</v>
      </c>
    </row>
    <row r="120" spans="1:34" x14ac:dyDescent="0.25">
      <c r="A120" s="118">
        <f t="shared" si="52"/>
        <v>112</v>
      </c>
      <c r="C120" s="21" t="s">
        <v>544</v>
      </c>
      <c r="E120" s="22">
        <f>+E42</f>
        <v>17688543.309999999</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17688543.309999999</v>
      </c>
      <c r="Q120" s="8">
        <f>+O120+M120+K120+I120+G120</f>
        <v>17688543.309999999</v>
      </c>
      <c r="R120" s="8">
        <f>+N120+L120+J120+H120</f>
        <v>0</v>
      </c>
      <c r="S120" s="17">
        <f>Q120+R120</f>
        <v>17688543.309999999</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17688543.309999999</v>
      </c>
      <c r="AF120" s="8">
        <f t="shared" si="87"/>
        <v>0</v>
      </c>
      <c r="AG120" s="8">
        <f t="shared" si="87"/>
        <v>0</v>
      </c>
      <c r="AH120" s="67">
        <f>+AF120+AG120+AD120</f>
        <v>17688543.309999999</v>
      </c>
    </row>
    <row r="121" spans="1:34" x14ac:dyDescent="0.25">
      <c r="A121" s="118">
        <f t="shared" si="52"/>
        <v>113</v>
      </c>
      <c r="C121" s="21" t="s">
        <v>674</v>
      </c>
      <c r="E121" s="22">
        <f>E119-E120</f>
        <v>50712945.689999998</v>
      </c>
      <c r="F121" s="118"/>
      <c r="G121" s="22">
        <f t="shared" ref="G121:O121" si="90">G119-G120</f>
        <v>4094705.7537795273</v>
      </c>
      <c r="H121" s="22">
        <f t="shared" si="90"/>
        <v>1173836.8088976378</v>
      </c>
      <c r="I121" s="22">
        <f t="shared" si="90"/>
        <v>14561522.718897639</v>
      </c>
      <c r="J121" s="22">
        <f t="shared" si="90"/>
        <v>0</v>
      </c>
      <c r="K121" s="22">
        <f t="shared" si="90"/>
        <v>15266937.850472441</v>
      </c>
      <c r="L121" s="22">
        <f t="shared" si="90"/>
        <v>0</v>
      </c>
      <c r="M121" s="22">
        <f t="shared" si="90"/>
        <v>0</v>
      </c>
      <c r="N121" s="22">
        <f t="shared" si="90"/>
        <v>0</v>
      </c>
      <c r="O121" s="22">
        <f t="shared" si="90"/>
        <v>15615942.557952758</v>
      </c>
      <c r="Q121" s="8">
        <f>+O121+M121+K121+I121+G121</f>
        <v>49539108.881102368</v>
      </c>
      <c r="R121" s="8">
        <f>+N121+L121+J121+H121</f>
        <v>1173836.8088976378</v>
      </c>
      <c r="S121" s="17">
        <f>Q121+R121</f>
        <v>50712945.690000005</v>
      </c>
      <c r="U121" s="118"/>
      <c r="V121" s="22">
        <f t="shared" ref="V121" si="91">V119-V120</f>
        <v>4094705.7537795273</v>
      </c>
      <c r="W121" s="22">
        <f t="shared" ref="W121" si="92">W119-W120</f>
        <v>1173836.8088976378</v>
      </c>
      <c r="X121" s="22">
        <f t="shared" ref="X121" si="93">X119-X120</f>
        <v>14561522.718897639</v>
      </c>
      <c r="Y121" s="22">
        <f t="shared" ref="Y121" si="94">Y119-Y120</f>
        <v>0</v>
      </c>
      <c r="Z121" s="22">
        <f t="shared" ref="Z121" si="95">Z119-Z120</f>
        <v>15266937.850472441</v>
      </c>
      <c r="AA121" s="22">
        <f t="shared" ref="AA121" si="96">AA119-AA120</f>
        <v>0</v>
      </c>
      <c r="AB121" s="22">
        <f t="shared" ref="AB121" si="97">AB119-AB120</f>
        <v>0</v>
      </c>
      <c r="AC121" s="22">
        <f t="shared" ref="AC121" si="98">AC119-AC120</f>
        <v>0</v>
      </c>
      <c r="AD121" s="22">
        <f t="shared" ref="AD121" si="99">AD119-AD120</f>
        <v>15615942.557952758</v>
      </c>
      <c r="AF121" s="8">
        <f t="shared" si="87"/>
        <v>33923166.323149607</v>
      </c>
      <c r="AG121" s="8">
        <f t="shared" si="87"/>
        <v>1173836.8088976378</v>
      </c>
      <c r="AH121" s="67">
        <f>+AF121+AG121+AD121</f>
        <v>50712945.689999998</v>
      </c>
    </row>
    <row r="122" spans="1:34" x14ac:dyDescent="0.25">
      <c r="A122" s="118">
        <f t="shared" si="52"/>
        <v>114</v>
      </c>
      <c r="C122" s="21" t="s">
        <v>675</v>
      </c>
      <c r="F122" s="118">
        <v>201</v>
      </c>
      <c r="G122" s="13">
        <f>IFERROR(G121/($G$121+$H$121),0)</f>
        <v>0.77719895114576754</v>
      </c>
      <c r="H122" s="13">
        <f>IFERROR(H121/($G$121+$H$121),0)</f>
        <v>0.22280104885423238</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0.97685331047277135</v>
      </c>
      <c r="R122" s="13">
        <f>IFERROR(R121/($R$121+$Q$121),0)</f>
        <v>2.3146689527228637E-2</v>
      </c>
      <c r="S122" s="71"/>
      <c r="U122" s="118"/>
      <c r="V122" s="13"/>
      <c r="W122" s="13"/>
      <c r="X122" s="13"/>
      <c r="Y122" s="13"/>
      <c r="Z122" s="13"/>
      <c r="AA122" s="13"/>
      <c r="AB122" s="13"/>
      <c r="AC122" s="13"/>
      <c r="AD122" s="13"/>
      <c r="AH122" s="13"/>
    </row>
    <row r="123" spans="1:34" x14ac:dyDescent="0.25">
      <c r="A123" s="118">
        <f t="shared" si="52"/>
        <v>115</v>
      </c>
      <c r="F123" s="118"/>
      <c r="U123" s="118"/>
    </row>
    <row r="124" spans="1:34" x14ac:dyDescent="0.25">
      <c r="A124" s="118">
        <f t="shared" si="52"/>
        <v>116</v>
      </c>
      <c r="C124" s="21" t="str">
        <f>+C121</f>
        <v>Transmission Plant w/o Gen Step-Up</v>
      </c>
      <c r="E124" s="22">
        <f>+E121</f>
        <v>50712945.689999998</v>
      </c>
      <c r="F124" s="118"/>
      <c r="G124" s="22">
        <f t="shared" ref="G124:O124" si="100">+G121</f>
        <v>4094705.7537795273</v>
      </c>
      <c r="H124" s="22">
        <f t="shared" si="100"/>
        <v>1173836.8088976378</v>
      </c>
      <c r="I124" s="22">
        <f t="shared" si="100"/>
        <v>14561522.718897639</v>
      </c>
      <c r="J124" s="22">
        <f t="shared" si="100"/>
        <v>0</v>
      </c>
      <c r="K124" s="22">
        <f t="shared" si="100"/>
        <v>15266937.850472441</v>
      </c>
      <c r="L124" s="22">
        <f t="shared" si="100"/>
        <v>0</v>
      </c>
      <c r="M124" s="22">
        <f t="shared" si="100"/>
        <v>0</v>
      </c>
      <c r="N124" s="22">
        <f t="shared" si="100"/>
        <v>0</v>
      </c>
      <c r="O124" s="22">
        <f t="shared" si="100"/>
        <v>15615942.557952758</v>
      </c>
      <c r="Q124" s="8">
        <f>+O124+M124+K124+I124+G124</f>
        <v>49539108.881102368</v>
      </c>
      <c r="R124" s="8">
        <f>+N124+L124+J124+H124</f>
        <v>1173836.8088976378</v>
      </c>
      <c r="S124" s="17">
        <f>Q124+R124</f>
        <v>50712945.690000005</v>
      </c>
      <c r="U124" s="118"/>
      <c r="V124" s="22">
        <f>+V121</f>
        <v>4094705.7537795273</v>
      </c>
      <c r="W124" s="22">
        <f t="shared" ref="W124:AD124" si="101">+W121</f>
        <v>1173836.8088976378</v>
      </c>
      <c r="X124" s="22">
        <f t="shared" si="101"/>
        <v>14561522.718897639</v>
      </c>
      <c r="Y124" s="22">
        <f t="shared" si="101"/>
        <v>0</v>
      </c>
      <c r="Z124" s="22">
        <f t="shared" si="101"/>
        <v>15266937.850472441</v>
      </c>
      <c r="AA124" s="22">
        <f t="shared" si="101"/>
        <v>0</v>
      </c>
      <c r="AB124" s="22">
        <f t="shared" si="101"/>
        <v>0</v>
      </c>
      <c r="AC124" s="22">
        <f t="shared" si="101"/>
        <v>0</v>
      </c>
      <c r="AD124" s="22">
        <f t="shared" si="101"/>
        <v>15615942.557952758</v>
      </c>
      <c r="AF124" s="8">
        <f t="shared" ref="AF124:AG126" si="102">+AB124+Z124+X124+V124</f>
        <v>33923166.323149607</v>
      </c>
      <c r="AG124" s="8">
        <f t="shared" si="102"/>
        <v>1173836.8088976378</v>
      </c>
      <c r="AH124" s="67">
        <f t="shared" ref="AH124:AH126" si="103">+AF124+AG124+AD124</f>
        <v>50712945.689999998</v>
      </c>
    </row>
    <row r="125" spans="1:34" x14ac:dyDescent="0.25">
      <c r="A125" s="118">
        <f t="shared" si="52"/>
        <v>117</v>
      </c>
      <c r="B125" s="2"/>
      <c r="C125" s="2" t="s">
        <v>543</v>
      </c>
      <c r="D125" s="2"/>
      <c r="E125" s="22">
        <f>-E38-E39-E56-E57</f>
        <v>-1249291</v>
      </c>
      <c r="F125" s="118"/>
      <c r="G125" s="22">
        <f t="shared" ref="G125:O125" si="104">-G38-G39-G56-G57</f>
        <v>-35574</v>
      </c>
      <c r="H125" s="22">
        <f t="shared" si="104"/>
        <v>0</v>
      </c>
      <c r="I125" s="22">
        <f t="shared" si="104"/>
        <v>0</v>
      </c>
      <c r="J125" s="22">
        <f t="shared" si="104"/>
        <v>0</v>
      </c>
      <c r="K125" s="22">
        <f t="shared" si="104"/>
        <v>-74617</v>
      </c>
      <c r="L125" s="22">
        <f t="shared" si="104"/>
        <v>0</v>
      </c>
      <c r="M125" s="22">
        <f t="shared" si="104"/>
        <v>0</v>
      </c>
      <c r="N125" s="22">
        <f t="shared" si="104"/>
        <v>0</v>
      </c>
      <c r="O125" s="22">
        <f t="shared" si="104"/>
        <v>-1139100</v>
      </c>
      <c r="Q125" s="8">
        <f>+O125+M125+K125+I125+G125</f>
        <v>-1249291</v>
      </c>
      <c r="R125" s="8">
        <f>+N125+L125+J125+H125</f>
        <v>0</v>
      </c>
      <c r="S125" s="17">
        <f>Q125+R125</f>
        <v>-1249291</v>
      </c>
      <c r="U125" s="118"/>
      <c r="V125" s="22">
        <f t="shared" ref="V125:AD125" si="105">-V38-V39-V56-V57</f>
        <v>-35574</v>
      </c>
      <c r="W125" s="22">
        <f t="shared" si="105"/>
        <v>0</v>
      </c>
      <c r="X125" s="22">
        <f t="shared" si="105"/>
        <v>0</v>
      </c>
      <c r="Y125" s="22">
        <f t="shared" si="105"/>
        <v>0</v>
      </c>
      <c r="Z125" s="22">
        <f t="shared" si="105"/>
        <v>-74617</v>
      </c>
      <c r="AA125" s="22">
        <f t="shared" si="105"/>
        <v>0</v>
      </c>
      <c r="AB125" s="22">
        <f t="shared" si="105"/>
        <v>0</v>
      </c>
      <c r="AC125" s="22">
        <f t="shared" si="105"/>
        <v>0</v>
      </c>
      <c r="AD125" s="22">
        <f t="shared" si="105"/>
        <v>-1139100</v>
      </c>
      <c r="AF125" s="8">
        <f t="shared" si="102"/>
        <v>-110191</v>
      </c>
      <c r="AG125" s="8">
        <f t="shared" si="102"/>
        <v>0</v>
      </c>
      <c r="AH125" s="67">
        <f t="shared" si="103"/>
        <v>-1249291</v>
      </c>
    </row>
    <row r="126" spans="1:34" x14ac:dyDescent="0.25">
      <c r="A126" s="118">
        <f t="shared" si="52"/>
        <v>118</v>
      </c>
      <c r="C126" s="2" t="s">
        <v>684</v>
      </c>
      <c r="E126" s="22">
        <f>E124+E125</f>
        <v>49463654.689999998</v>
      </c>
      <c r="F126" s="118"/>
      <c r="G126" s="22">
        <f t="shared" ref="G126:O126" si="106">G124+G125</f>
        <v>4059131.7537795273</v>
      </c>
      <c r="H126" s="22">
        <f t="shared" si="106"/>
        <v>1173836.8088976378</v>
      </c>
      <c r="I126" s="22">
        <f t="shared" si="106"/>
        <v>14561522.718897639</v>
      </c>
      <c r="J126" s="22">
        <f t="shared" si="106"/>
        <v>0</v>
      </c>
      <c r="K126" s="22">
        <f t="shared" si="106"/>
        <v>15192320.850472441</v>
      </c>
      <c r="L126" s="22">
        <f t="shared" si="106"/>
        <v>0</v>
      </c>
      <c r="M126" s="22">
        <f t="shared" si="106"/>
        <v>0</v>
      </c>
      <c r="N126" s="22">
        <f t="shared" si="106"/>
        <v>0</v>
      </c>
      <c r="O126" s="22">
        <f t="shared" si="106"/>
        <v>14476842.557952758</v>
      </c>
      <c r="Q126" s="8">
        <f>+O126+M126+K126+I126+G126</f>
        <v>48289817.881102368</v>
      </c>
      <c r="R126" s="8">
        <f>+N126+L126+J126+H126</f>
        <v>1173836.8088976378</v>
      </c>
      <c r="S126" s="17">
        <f>Q126+R126</f>
        <v>49463654.690000005</v>
      </c>
      <c r="U126" s="118"/>
      <c r="V126" s="22">
        <f>V124+V125</f>
        <v>4059131.7537795273</v>
      </c>
      <c r="W126" s="22">
        <f t="shared" ref="W126" si="107">W124+W125</f>
        <v>1173836.8088976378</v>
      </c>
      <c r="X126" s="22">
        <f t="shared" ref="X126" si="108">X124+X125</f>
        <v>14561522.718897639</v>
      </c>
      <c r="Y126" s="22">
        <f t="shared" ref="Y126" si="109">Y124+Y125</f>
        <v>0</v>
      </c>
      <c r="Z126" s="22">
        <f t="shared" ref="Z126" si="110">Z124+Z125</f>
        <v>15192320.850472441</v>
      </c>
      <c r="AA126" s="22">
        <f t="shared" ref="AA126" si="111">AA124+AA125</f>
        <v>0</v>
      </c>
      <c r="AB126" s="22">
        <f t="shared" ref="AB126" si="112">AB124+AB125</f>
        <v>0</v>
      </c>
      <c r="AC126" s="22">
        <f t="shared" ref="AC126" si="113">AC124+AC125</f>
        <v>0</v>
      </c>
      <c r="AD126" s="22">
        <f t="shared" ref="AD126" si="114">AD124+AD125</f>
        <v>14476842.557952758</v>
      </c>
      <c r="AF126" s="8">
        <f t="shared" si="102"/>
        <v>33812975.323149607</v>
      </c>
      <c r="AG126" s="8">
        <f t="shared" si="102"/>
        <v>1173836.8088976378</v>
      </c>
      <c r="AH126" s="67">
        <f t="shared" si="103"/>
        <v>49463654.689999998</v>
      </c>
    </row>
    <row r="127" spans="1:34" x14ac:dyDescent="0.25">
      <c r="A127" s="118">
        <f t="shared" si="52"/>
        <v>119</v>
      </c>
      <c r="C127" s="21" t="s">
        <v>675</v>
      </c>
      <c r="F127" s="118">
        <v>202</v>
      </c>
      <c r="G127" s="13">
        <f>IFERROR(G126/(G$126+H$126),0)</f>
        <v>0.77568433770656786</v>
      </c>
      <c r="H127" s="13">
        <f>IFERROR(H126/(G$126+H$126),0)</f>
        <v>0.22431566229343208</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0.97626870039720393</v>
      </c>
      <c r="R127" s="13">
        <f>IFERROR(R126/($R$126+$Q$126),0)</f>
        <v>2.3731299602796043E-2</v>
      </c>
      <c r="U127" s="118">
        <v>213</v>
      </c>
      <c r="V127" s="13">
        <f>IFERROR(V126/(V$126+W$126),0)</f>
        <v>0.77568433770656786</v>
      </c>
      <c r="W127" s="13">
        <f>IFERROR(W126/(V$126+W$126),0)</f>
        <v>0.22431566229343208</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0.96644916363150379</v>
      </c>
      <c r="AG127" s="13">
        <f>IFERROR(AG126/($AG$126+$AF$126),0)</f>
        <v>3.355083636849629E-2</v>
      </c>
      <c r="AH127" s="13"/>
    </row>
    <row r="128" spans="1:34" x14ac:dyDescent="0.25">
      <c r="A128" s="118">
        <f t="shared" si="52"/>
        <v>120</v>
      </c>
      <c r="F128" s="118"/>
      <c r="U128" s="118"/>
    </row>
    <row r="129" spans="1:34" x14ac:dyDescent="0.25">
      <c r="A129" s="118">
        <f t="shared" si="52"/>
        <v>121</v>
      </c>
      <c r="C129" s="21" t="s">
        <v>676</v>
      </c>
      <c r="E129" s="22">
        <f>+E48+E49+E50+E51</f>
        <v>31650096</v>
      </c>
      <c r="F129" s="118"/>
      <c r="G129" s="22">
        <f t="shared" ref="G129:O129" si="115">+G48+G49+G50+G51</f>
        <v>3738508.8899999997</v>
      </c>
      <c r="H129" s="22">
        <f t="shared" si="115"/>
        <v>1101087.99</v>
      </c>
      <c r="I129" s="22">
        <f t="shared" si="115"/>
        <v>11353604.92</v>
      </c>
      <c r="J129" s="22">
        <f t="shared" si="115"/>
        <v>0</v>
      </c>
      <c r="K129" s="22">
        <f t="shared" si="115"/>
        <v>7287049.0199999996</v>
      </c>
      <c r="L129" s="22">
        <f t="shared" si="115"/>
        <v>0</v>
      </c>
      <c r="M129" s="22">
        <f t="shared" si="115"/>
        <v>0</v>
      </c>
      <c r="N129" s="22">
        <f t="shared" si="115"/>
        <v>0</v>
      </c>
      <c r="O129" s="22">
        <f t="shared" si="115"/>
        <v>8169845.1799999997</v>
      </c>
      <c r="Q129" s="8">
        <f>+O129+M129+K129+I129+G129</f>
        <v>30549008.009999998</v>
      </c>
      <c r="R129" s="8">
        <f>+N129+L129+J129+H129</f>
        <v>1101087.99</v>
      </c>
      <c r="S129" s="17">
        <f>Q129+R129</f>
        <v>31650095.999999996</v>
      </c>
      <c r="U129" s="118"/>
      <c r="V129" s="22">
        <f t="shared" ref="V129:AD129" si="116">+V48+V49+V50+V51</f>
        <v>3738508.8899999997</v>
      </c>
      <c r="W129" s="22">
        <f t="shared" si="116"/>
        <v>1101087.99</v>
      </c>
      <c r="X129" s="22">
        <f t="shared" si="116"/>
        <v>11353604.92</v>
      </c>
      <c r="Y129" s="22">
        <f t="shared" si="116"/>
        <v>0</v>
      </c>
      <c r="Z129" s="22">
        <f t="shared" si="116"/>
        <v>7287049.0199999996</v>
      </c>
      <c r="AA129" s="22">
        <f t="shared" si="116"/>
        <v>0</v>
      </c>
      <c r="AB129" s="22">
        <f t="shared" si="116"/>
        <v>0</v>
      </c>
      <c r="AC129" s="22">
        <f t="shared" si="116"/>
        <v>0</v>
      </c>
      <c r="AD129" s="22">
        <f t="shared" si="116"/>
        <v>8169845.1799999997</v>
      </c>
      <c r="AF129" s="8">
        <f>+AB129+Z129+X129+V129</f>
        <v>22379162.829999998</v>
      </c>
      <c r="AG129" s="8">
        <f>+AC129+AA129+Y129+W129</f>
        <v>1101087.99</v>
      </c>
      <c r="AH129" s="67">
        <f>+AF129+AG129+AD129</f>
        <v>31650095.999999996</v>
      </c>
    </row>
    <row r="130" spans="1:34" x14ac:dyDescent="0.25">
      <c r="A130" s="118">
        <f t="shared" si="52"/>
        <v>122</v>
      </c>
      <c r="C130" s="21" t="s">
        <v>675</v>
      </c>
      <c r="F130" s="118">
        <v>209</v>
      </c>
      <c r="G130" s="13">
        <f>IFERROR(G129/($G$129+$H$129),0)</f>
        <v>0.77248353172754336</v>
      </c>
      <c r="H130" s="13">
        <f>IFERROR(H129/($G$129+$H$129),0)</f>
        <v>0.22751646827245661</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0.96521059556975752</v>
      </c>
      <c r="R130" s="13">
        <f>IFERROR(R129/($R$129+$Q$129),0)</f>
        <v>3.478940443024249E-2</v>
      </c>
      <c r="U130" s="118">
        <v>214</v>
      </c>
      <c r="V130" s="13">
        <f>IFERROR(V129/($V$129+$W$129),0)</f>
        <v>0.77248353172754336</v>
      </c>
      <c r="W130" s="13">
        <f>IFERROR(W129/($V$129+$W$129),0)</f>
        <v>0.22751646827245661</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0.95310578245347732</v>
      </c>
      <c r="AG130" s="13">
        <f>IFERROR(AG129/($AG$129+$AF$129),0)</f>
        <v>4.6894217546522794E-2</v>
      </c>
      <c r="AH130" s="13"/>
    </row>
    <row r="131" spans="1:34" x14ac:dyDescent="0.25">
      <c r="A131" s="118">
        <f t="shared" si="52"/>
        <v>123</v>
      </c>
      <c r="F131" s="118"/>
      <c r="U131" s="118"/>
    </row>
    <row r="132" spans="1:34" x14ac:dyDescent="0.25">
      <c r="A132" s="118">
        <f t="shared" si="52"/>
        <v>124</v>
      </c>
      <c r="C132" s="21" t="s">
        <v>542</v>
      </c>
      <c r="E132" s="22">
        <f>+E87</f>
        <v>101896456</v>
      </c>
      <c r="F132" s="118"/>
      <c r="G132" s="22">
        <f t="shared" ref="G132:O132" si="117">+G87</f>
        <v>1282834.8700000001</v>
      </c>
      <c r="H132" s="22">
        <f t="shared" si="117"/>
        <v>4275144.79</v>
      </c>
      <c r="I132" s="22">
        <f t="shared" si="117"/>
        <v>10828282.66</v>
      </c>
      <c r="J132" s="22">
        <f t="shared" si="117"/>
        <v>0</v>
      </c>
      <c r="K132" s="22">
        <f t="shared" si="117"/>
        <v>52558854.390000001</v>
      </c>
      <c r="L132" s="22">
        <f t="shared" si="117"/>
        <v>0</v>
      </c>
      <c r="M132" s="22">
        <f t="shared" si="117"/>
        <v>0</v>
      </c>
      <c r="N132" s="22">
        <f t="shared" si="117"/>
        <v>0</v>
      </c>
      <c r="O132" s="22">
        <f t="shared" si="117"/>
        <v>32951338.819999989</v>
      </c>
      <c r="Q132" s="8">
        <f>+O132+M132+K132+I132+G132</f>
        <v>97621310.739999995</v>
      </c>
      <c r="R132" s="8">
        <f>+N132+L132+J132+H132</f>
        <v>4275144.79</v>
      </c>
      <c r="S132" s="17">
        <f>Q132+R132</f>
        <v>101896455.53</v>
      </c>
      <c r="U132" s="118"/>
      <c r="V132" s="22">
        <f t="shared" ref="V132:AD132" si="118">+V87</f>
        <v>116096.555735</v>
      </c>
      <c r="W132" s="22">
        <f t="shared" si="118"/>
        <v>383655.80111</v>
      </c>
      <c r="X132" s="22">
        <f t="shared" si="118"/>
        <v>973336.7165199999</v>
      </c>
      <c r="Y132" s="22">
        <f t="shared" si="118"/>
        <v>0</v>
      </c>
      <c r="Z132" s="22">
        <f t="shared" si="118"/>
        <v>4756576.3222949998</v>
      </c>
      <c r="AA132" s="22">
        <f t="shared" si="118"/>
        <v>0</v>
      </c>
      <c r="AB132" s="22">
        <f t="shared" si="118"/>
        <v>0</v>
      </c>
      <c r="AC132" s="22">
        <f t="shared" si="118"/>
        <v>0</v>
      </c>
      <c r="AD132" s="22">
        <f t="shared" si="118"/>
        <v>95666790.604340002</v>
      </c>
      <c r="AF132" s="8">
        <f t="shared" ref="AF132:AG134" si="119">+AB132+Z132+X132+V132</f>
        <v>5846009.5945500005</v>
      </c>
      <c r="AG132" s="8">
        <f t="shared" si="119"/>
        <v>383655.80111</v>
      </c>
      <c r="AH132" s="67">
        <f>+AF132+AG132+AD132</f>
        <v>101896456</v>
      </c>
    </row>
    <row r="133" spans="1:34" x14ac:dyDescent="0.25">
      <c r="A133" s="118">
        <f t="shared" si="52"/>
        <v>125</v>
      </c>
      <c r="C133" s="21" t="s">
        <v>845</v>
      </c>
      <c r="E133" s="22">
        <f>-(E63+E64+E86)</f>
        <v>-466938</v>
      </c>
      <c r="F133" s="151"/>
      <c r="G133" s="22">
        <f t="shared" ref="G133:O133" si="120">-(G63+G64+G86)</f>
        <v>-9730</v>
      </c>
      <c r="H133" s="22">
        <f t="shared" si="120"/>
        <v>-16500.25</v>
      </c>
      <c r="I133" s="22">
        <f t="shared" si="120"/>
        <v>0</v>
      </c>
      <c r="J133" s="22">
        <f t="shared" si="120"/>
        <v>0</v>
      </c>
      <c r="K133" s="22">
        <f t="shared" si="120"/>
        <v>-82709.039999999994</v>
      </c>
      <c r="L133" s="22">
        <f t="shared" si="120"/>
        <v>0</v>
      </c>
      <c r="M133" s="22">
        <f t="shared" si="120"/>
        <v>0</v>
      </c>
      <c r="N133" s="22">
        <f t="shared" si="120"/>
        <v>0</v>
      </c>
      <c r="O133" s="22">
        <f t="shared" si="120"/>
        <v>-357998.24</v>
      </c>
      <c r="Q133" s="8">
        <f>+O133+M133+K133+I133+G133</f>
        <v>-450437.27999999997</v>
      </c>
      <c r="R133" s="8">
        <f>+N133+L133+J133+H133</f>
        <v>-16500.25</v>
      </c>
      <c r="S133" s="17">
        <f>Q133+R133</f>
        <v>-466937.52999999997</v>
      </c>
      <c r="U133" s="151"/>
      <c r="V133" s="22">
        <f t="shared" ref="V133:AD133" si="121">-(V63+V64+V86)</f>
        <v>-880.56499999999994</v>
      </c>
      <c r="W133" s="22">
        <f t="shared" si="121"/>
        <v>-1493.2726250000001</v>
      </c>
      <c r="X133" s="22">
        <f t="shared" si="121"/>
        <v>0</v>
      </c>
      <c r="Y133" s="22">
        <f t="shared" si="121"/>
        <v>0</v>
      </c>
      <c r="Z133" s="22">
        <f t="shared" si="121"/>
        <v>-7485.1681199999994</v>
      </c>
      <c r="AA133" s="22">
        <f t="shared" si="121"/>
        <v>0</v>
      </c>
      <c r="AB133" s="22">
        <f t="shared" si="121"/>
        <v>0</v>
      </c>
      <c r="AC133" s="22">
        <f t="shared" si="121"/>
        <v>0</v>
      </c>
      <c r="AD133" s="22">
        <f t="shared" si="121"/>
        <v>-457078.99425500003</v>
      </c>
      <c r="AF133" s="8">
        <f t="shared" si="119"/>
        <v>-8365.733119999999</v>
      </c>
      <c r="AG133" s="8">
        <f t="shared" si="119"/>
        <v>-1493.2726250000001</v>
      </c>
      <c r="AH133" s="67">
        <f>+AF133+AG133+AD133</f>
        <v>-466938</v>
      </c>
    </row>
    <row r="134" spans="1:34" x14ac:dyDescent="0.25">
      <c r="A134" s="118">
        <f t="shared" si="52"/>
        <v>126</v>
      </c>
      <c r="C134" s="21" t="s">
        <v>846</v>
      </c>
      <c r="E134" s="22">
        <f>E132+E133</f>
        <v>101429518</v>
      </c>
      <c r="F134" s="118"/>
      <c r="G134" s="22">
        <f t="shared" ref="G134" si="122">G132+G133</f>
        <v>1273104.8700000001</v>
      </c>
      <c r="H134" s="22">
        <f t="shared" ref="H134" si="123">H132+H133</f>
        <v>4258644.54</v>
      </c>
      <c r="I134" s="22">
        <f t="shared" ref="I134" si="124">I132+I133</f>
        <v>10828282.66</v>
      </c>
      <c r="J134" s="22">
        <f t="shared" ref="J134" si="125">J132+J133</f>
        <v>0</v>
      </c>
      <c r="K134" s="22">
        <f t="shared" ref="K134" si="126">K132+K133</f>
        <v>52476145.350000001</v>
      </c>
      <c r="L134" s="22">
        <f t="shared" ref="L134" si="127">L132+L133</f>
        <v>0</v>
      </c>
      <c r="M134" s="22">
        <f t="shared" ref="M134" si="128">M132+M133</f>
        <v>0</v>
      </c>
      <c r="N134" s="22">
        <f t="shared" ref="N134" si="129">N132+N133</f>
        <v>0</v>
      </c>
      <c r="O134" s="22">
        <f t="shared" ref="O134" si="130">O132+O133</f>
        <v>32593340.579999991</v>
      </c>
      <c r="Q134" s="8">
        <f>+O134+M134+K134+I134+G134</f>
        <v>97170873.459999993</v>
      </c>
      <c r="R134" s="8">
        <f>+N134+L134+J134+H134</f>
        <v>4258644.54</v>
      </c>
      <c r="S134" s="17">
        <f>Q134+R134</f>
        <v>101429518</v>
      </c>
      <c r="U134" s="118"/>
      <c r="V134" s="22">
        <f t="shared" ref="V134" si="131">V132+V133</f>
        <v>115215.990735</v>
      </c>
      <c r="W134" s="22">
        <f t="shared" ref="W134" si="132">W132+W133</f>
        <v>382162.52848500002</v>
      </c>
      <c r="X134" s="22">
        <f t="shared" ref="X134" si="133">X132+X133</f>
        <v>973336.7165199999</v>
      </c>
      <c r="Y134" s="22">
        <f t="shared" ref="Y134" si="134">Y132+Y133</f>
        <v>0</v>
      </c>
      <c r="Z134" s="22">
        <f t="shared" ref="Z134" si="135">Z132+Z133</f>
        <v>4749091.1541750003</v>
      </c>
      <c r="AA134" s="22">
        <f t="shared" ref="AA134" si="136">AA132+AA133</f>
        <v>0</v>
      </c>
      <c r="AB134" s="22">
        <f t="shared" ref="AB134" si="137">AB132+AB133</f>
        <v>0</v>
      </c>
      <c r="AC134" s="22">
        <f t="shared" ref="AC134" si="138">AC132+AC133</f>
        <v>0</v>
      </c>
      <c r="AD134" s="22">
        <f t="shared" ref="AD134" si="139">AD132+AD133</f>
        <v>95209711.610084996</v>
      </c>
      <c r="AF134" s="8">
        <f t="shared" si="119"/>
        <v>5837643.8614300005</v>
      </c>
      <c r="AG134" s="8">
        <f t="shared" si="119"/>
        <v>382162.52848500002</v>
      </c>
      <c r="AH134" s="67">
        <f>+AF134+AG134+AD134</f>
        <v>101429518</v>
      </c>
    </row>
    <row r="135" spans="1:34" x14ac:dyDescent="0.25">
      <c r="A135" s="118">
        <f t="shared" si="52"/>
        <v>127</v>
      </c>
      <c r="C135" s="21" t="s">
        <v>675</v>
      </c>
      <c r="F135" s="118">
        <v>203</v>
      </c>
      <c r="G135" s="13">
        <f>IFERROR(G134/($G$134+$H$134),0)</f>
        <v>0.23014507267783124</v>
      </c>
      <c r="H135" s="13">
        <f>IFERROR(H134/($G$134+$H$134),0)</f>
        <v>0.76985492732216876</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0.95801375552233226</v>
      </c>
      <c r="R135" s="13">
        <f>IFERROR(R134/($R$134+$Q$134),0)</f>
        <v>4.1986244477667731E-2</v>
      </c>
      <c r="U135" s="118">
        <v>215</v>
      </c>
      <c r="V135" s="13">
        <f>IFERROR(V134/($V$134+$W$134),0)</f>
        <v>0.23164649513952526</v>
      </c>
      <c r="W135" s="13">
        <f>IFERROR(W134/($V$134+$W$134),0)</f>
        <v>0.76835350486047471</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0.93855716648919307</v>
      </c>
      <c r="AG135" s="13">
        <f>IFERROR(AG134/($AF$134+$AG$134),0)</f>
        <v>6.1442833510806857E-2</v>
      </c>
      <c r="AH135" s="13"/>
    </row>
    <row r="136" spans="1:34" x14ac:dyDescent="0.25">
      <c r="A136" s="118">
        <f t="shared" si="52"/>
        <v>128</v>
      </c>
      <c r="F136" s="118"/>
      <c r="U136" s="118"/>
    </row>
    <row r="137" spans="1:34" x14ac:dyDescent="0.25">
      <c r="A137" s="118">
        <f t="shared" si="52"/>
        <v>129</v>
      </c>
      <c r="C137" s="21" t="s">
        <v>677</v>
      </c>
      <c r="E137" s="22">
        <f>+E67+E68</f>
        <v>101320196</v>
      </c>
      <c r="F137" s="118"/>
      <c r="G137" s="22">
        <f t="shared" ref="G137:O137" si="140">+G67+G68</f>
        <v>1273104.8700000001</v>
      </c>
      <c r="H137" s="22">
        <f t="shared" si="140"/>
        <v>4222790.37</v>
      </c>
      <c r="I137" s="22">
        <f t="shared" si="140"/>
        <v>10755101.84</v>
      </c>
      <c r="J137" s="22">
        <f t="shared" si="140"/>
        <v>0</v>
      </c>
      <c r="K137" s="22">
        <f t="shared" si="140"/>
        <v>52476145.350000001</v>
      </c>
      <c r="L137" s="22">
        <f t="shared" si="140"/>
        <v>0</v>
      </c>
      <c r="M137" s="22">
        <f t="shared" si="140"/>
        <v>0</v>
      </c>
      <c r="N137" s="22">
        <f t="shared" si="140"/>
        <v>0</v>
      </c>
      <c r="O137" s="22">
        <f t="shared" si="140"/>
        <v>32593053.569999993</v>
      </c>
      <c r="Q137" s="8">
        <f>+O137+M137+K137+I137+G137</f>
        <v>97097405.629999995</v>
      </c>
      <c r="R137" s="8">
        <f>+N137+L137+J137+H137</f>
        <v>4222790.37</v>
      </c>
      <c r="S137" s="17">
        <f>Q137+R137</f>
        <v>101320196</v>
      </c>
      <c r="U137" s="118"/>
      <c r="V137" s="22">
        <f t="shared" ref="V137:AD137" si="141">+V67+V68</f>
        <v>115215.990735</v>
      </c>
      <c r="W137" s="22">
        <f t="shared" si="141"/>
        <v>382162.52848500002</v>
      </c>
      <c r="X137" s="22">
        <f t="shared" si="141"/>
        <v>973336.7165199999</v>
      </c>
      <c r="Y137" s="22">
        <f t="shared" si="141"/>
        <v>0</v>
      </c>
      <c r="Z137" s="22">
        <f t="shared" si="141"/>
        <v>4749091.1541750003</v>
      </c>
      <c r="AA137" s="22">
        <f t="shared" si="141"/>
        <v>0</v>
      </c>
      <c r="AB137" s="22">
        <f t="shared" si="141"/>
        <v>0</v>
      </c>
      <c r="AC137" s="22">
        <f t="shared" si="141"/>
        <v>0</v>
      </c>
      <c r="AD137" s="22">
        <f t="shared" si="141"/>
        <v>95100389.610084996</v>
      </c>
      <c r="AF137" s="8">
        <f>+AB137+Z137+X137+V137</f>
        <v>5837643.8614300005</v>
      </c>
      <c r="AG137" s="8">
        <f>+AC137+AA137+Y137+W137</f>
        <v>382162.52848500002</v>
      </c>
      <c r="AH137" s="67">
        <f>+AF137+AG137+AD137</f>
        <v>101320196</v>
      </c>
    </row>
    <row r="138" spans="1:34" x14ac:dyDescent="0.25">
      <c r="A138" s="118">
        <f t="shared" si="52"/>
        <v>130</v>
      </c>
      <c r="C138" s="21" t="s">
        <v>675</v>
      </c>
      <c r="F138" s="118">
        <v>210</v>
      </c>
      <c r="G138" s="13">
        <f>IFERROR(G137/($G$137+$H$137),0)</f>
        <v>0.23164649513952526</v>
      </c>
      <c r="H138" s="13">
        <f>IFERROR(H137/($G$137+$H$137),0)</f>
        <v>0.76835350486047471</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0.95832232332041678</v>
      </c>
      <c r="R138" s="13">
        <f>IFERROR(R137/($R$137+$Q$137),0)</f>
        <v>4.1677676679583213E-2</v>
      </c>
      <c r="U138" s="118">
        <v>216</v>
      </c>
      <c r="V138" s="13">
        <f>IFERROR(V137/($V$137+$W$137),0)</f>
        <v>0.23164649513952526</v>
      </c>
      <c r="W138" s="13">
        <f>IFERROR(W137/($V$137+$W$137),0)</f>
        <v>0.76835350486047471</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0.93855716648919307</v>
      </c>
      <c r="AG138" s="13">
        <f>IFERROR(AG137/($AF$137+$AG$137),0)</f>
        <v>6.1442833510806857E-2</v>
      </c>
      <c r="AH138" s="13"/>
    </row>
    <row r="139" spans="1:34" x14ac:dyDescent="0.25">
      <c r="A139" s="118">
        <f t="shared" si="52"/>
        <v>131</v>
      </c>
      <c r="U139" s="118"/>
    </row>
    <row r="140" spans="1:34" x14ac:dyDescent="0.25">
      <c r="A140" s="118">
        <f t="shared" si="52"/>
        <v>132</v>
      </c>
      <c r="C140" s="21" t="s">
        <v>681</v>
      </c>
      <c r="E140" s="22">
        <f>+E126+E134</f>
        <v>150893172.69</v>
      </c>
      <c r="G140" s="22">
        <f t="shared" ref="G140:O140" si="142">+G126+G134</f>
        <v>5332236.6237795278</v>
      </c>
      <c r="H140" s="22">
        <f t="shared" si="142"/>
        <v>5432481.3488976378</v>
      </c>
      <c r="I140" s="22">
        <f t="shared" si="142"/>
        <v>25389805.378897637</v>
      </c>
      <c r="J140" s="22">
        <f t="shared" si="142"/>
        <v>0</v>
      </c>
      <c r="K140" s="22">
        <f t="shared" si="142"/>
        <v>67668466.200472444</v>
      </c>
      <c r="L140" s="22">
        <f t="shared" si="142"/>
        <v>0</v>
      </c>
      <c r="M140" s="22">
        <f t="shared" si="142"/>
        <v>0</v>
      </c>
      <c r="N140" s="22">
        <f t="shared" si="142"/>
        <v>0</v>
      </c>
      <c r="O140" s="22">
        <f t="shared" si="142"/>
        <v>47070183.137952745</v>
      </c>
      <c r="Q140" s="8">
        <f>+O140+M140+K140+I140+G140</f>
        <v>145460691.34110236</v>
      </c>
      <c r="R140" s="8">
        <f>+N140+L140+J140+H140</f>
        <v>5432481.3488976378</v>
      </c>
      <c r="S140" s="17">
        <f>Q140+R140</f>
        <v>150893172.69</v>
      </c>
      <c r="U140" s="118"/>
      <c r="V140" s="22">
        <f t="shared" ref="V140:AC140" si="143">+V126+V134</f>
        <v>4174347.7445145273</v>
      </c>
      <c r="W140" s="22">
        <f t="shared" si="143"/>
        <v>1555999.3373826379</v>
      </c>
      <c r="X140" s="22">
        <f t="shared" si="143"/>
        <v>15534859.435417639</v>
      </c>
      <c r="Y140" s="22">
        <f t="shared" si="143"/>
        <v>0</v>
      </c>
      <c r="Z140" s="22">
        <f t="shared" si="143"/>
        <v>19941412.004647441</v>
      </c>
      <c r="AA140" s="22">
        <f t="shared" si="143"/>
        <v>0</v>
      </c>
      <c r="AB140" s="22">
        <f t="shared" si="143"/>
        <v>0</v>
      </c>
      <c r="AC140" s="22">
        <f t="shared" si="143"/>
        <v>0</v>
      </c>
      <c r="AD140" s="22">
        <f>+AD126+AD134</f>
        <v>109686554.16803776</v>
      </c>
      <c r="AF140" s="8">
        <f>+AB140+Z140+X140+V140</f>
        <v>39650619.184579603</v>
      </c>
      <c r="AG140" s="8">
        <f>+AC140+AA140+Y140+W140</f>
        <v>1555999.3373826379</v>
      </c>
      <c r="AH140" s="67">
        <f>+AF140+AG140+AD140</f>
        <v>150893172.69</v>
      </c>
    </row>
    <row r="141" spans="1:34" x14ac:dyDescent="0.25">
      <c r="A141" s="118">
        <f t="shared" si="52"/>
        <v>133</v>
      </c>
      <c r="C141" s="21" t="s">
        <v>675</v>
      </c>
      <c r="F141" s="118">
        <v>205</v>
      </c>
      <c r="G141" s="13">
        <f>IFERROR(G140/($G$140+$H$140),0)</f>
        <v>0.49534382947270195</v>
      </c>
      <c r="H141" s="13">
        <f>IFERROR(H140/($G$140+$H$140),0)</f>
        <v>0.50465617052729805</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0.9639978320287671</v>
      </c>
      <c r="R141" s="13">
        <f>IFERROR(R140/($R$140+$Q$140),0)</f>
        <v>3.6002167971232936E-2</v>
      </c>
      <c r="U141" s="118">
        <v>217</v>
      </c>
      <c r="V141" s="13">
        <f>IFERROR(V140/($V$140+$W$140),0)</f>
        <v>0.72846333474315694</v>
      </c>
      <c r="W141" s="13">
        <f>IFERROR(W140/($V$140+$W$140),0)</f>
        <v>0.271536665256843</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0.96223909184508016</v>
      </c>
      <c r="AG141" s="13">
        <f>IFERROR(AG140/($AG$140+$AF$140),0)</f>
        <v>3.7760908154919913E-2</v>
      </c>
      <c r="AH141" s="13"/>
    </row>
    <row r="143" spans="1:34" x14ac:dyDescent="0.25">
      <c r="E143" s="13"/>
    </row>
    <row r="144" spans="1:34" x14ac:dyDescent="0.2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64" formulaRange="1"/>
    <ignoredError sqref="E45 E41 E43 E47 E66 E68:E70 E51:E55 E49 E57 E74:E78 E80 E72" formula="1" formulaRange="1"/>
    <ignoredError sqref="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R10" activePane="bottomRight" state="frozen"/>
      <selection pane="topRight" activeCell="G1" sqref="G1"/>
      <selection pane="bottomLeft" activeCell="A10" sqref="A10"/>
      <selection pane="bottomRight" activeCell="D11" sqref="D11"/>
    </sheetView>
  </sheetViews>
  <sheetFormatPr defaultColWidth="9.140625" defaultRowHeight="15" x14ac:dyDescent="0.25"/>
  <cols>
    <col min="1" max="1" width="5.28515625" style="21" customWidth="1"/>
    <col min="2" max="2" width="8.7109375" style="21" customWidth="1"/>
    <col min="3" max="3" width="55.85546875" style="21" bestFit="1" customWidth="1"/>
    <col min="4" max="4" width="16.42578125" style="21" bestFit="1" customWidth="1"/>
    <col min="5" max="5" width="14.7109375" style="21" bestFit="1" customWidth="1"/>
    <col min="6" max="6" width="5.85546875" style="73" bestFit="1" customWidth="1"/>
    <col min="7" max="10" width="13.42578125" style="21" customWidth="1"/>
    <col min="11" max="11" width="14.7109375" style="21" bestFit="1" customWidth="1"/>
    <col min="12" max="12" width="6.7109375" style="73" hidden="1" customWidth="1"/>
    <col min="13" max="13" width="2.140625" style="21" customWidth="1"/>
    <col min="14" max="14" width="6.5703125" style="73" bestFit="1" customWidth="1"/>
    <col min="15" max="16" width="10.7109375" style="21" customWidth="1"/>
    <col min="17" max="17" width="12.28515625" style="21" bestFit="1" customWidth="1"/>
    <col min="18" max="18" width="10.7109375" style="21" customWidth="1"/>
    <col min="19" max="19" width="12.28515625" style="21" bestFit="1" customWidth="1"/>
    <col min="20" max="22" width="10.7109375" style="21" customWidth="1"/>
    <col min="23" max="23" width="14.7109375" style="21" bestFit="1" customWidth="1"/>
    <col min="24" max="24" width="2.140625" style="21" customWidth="1"/>
    <col min="25" max="25" width="13.28515625" style="21" bestFit="1" customWidth="1"/>
    <col min="26" max="26" width="12.140625" style="21" bestFit="1" customWidth="1"/>
    <col min="27" max="27" width="14.7109375" style="21" bestFit="1" customWidth="1"/>
    <col min="28" max="28" width="9.5703125" style="73" hidden="1" customWidth="1"/>
    <col min="29" max="29" width="2.140625" style="21" customWidth="1"/>
    <col min="30" max="30" width="6.5703125" style="73" bestFit="1" customWidth="1"/>
    <col min="31" max="31" width="11.7109375" style="21" bestFit="1" customWidth="1"/>
    <col min="32" max="32" width="13" style="21" bestFit="1" customWidth="1"/>
    <col min="33" max="33" width="12.5703125" style="21" bestFit="1" customWidth="1"/>
    <col min="34" max="34" width="13" style="21" bestFit="1" customWidth="1"/>
    <col min="35" max="35" width="11.7109375" style="21" bestFit="1" customWidth="1"/>
    <col min="36" max="36" width="13" style="21" bestFit="1" customWidth="1"/>
    <col min="37" max="37" width="11.7109375" style="21" bestFit="1" customWidth="1"/>
    <col min="38" max="38" width="13" style="21" bestFit="1" customWidth="1"/>
    <col min="39" max="39" width="14.7109375" style="21" bestFit="1" customWidth="1"/>
    <col min="40" max="40" width="2.140625" style="21" customWidth="1"/>
    <col min="41" max="41" width="13.28515625" style="21" bestFit="1" customWidth="1"/>
    <col min="42" max="42" width="11.85546875" style="21" bestFit="1" customWidth="1"/>
    <col min="43" max="43" width="14.7109375" style="21" bestFit="1" customWidth="1"/>
    <col min="44" max="44" width="10.5703125" style="73" hidden="1" customWidth="1"/>
    <col min="45" max="16384" width="9.140625" style="21"/>
  </cols>
  <sheetData>
    <row r="1" spans="1:46" x14ac:dyDescent="0.25">
      <c r="A1" s="179" t="s">
        <v>27</v>
      </c>
      <c r="B1" s="179"/>
      <c r="C1" s="179"/>
      <c r="D1" s="179"/>
      <c r="E1" s="179"/>
      <c r="F1" s="179"/>
      <c r="G1" s="179"/>
      <c r="H1" s="179"/>
      <c r="I1" s="179"/>
      <c r="J1" s="179"/>
      <c r="K1" s="179"/>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25">
      <c r="A2" s="179" t="s">
        <v>862</v>
      </c>
      <c r="B2" s="179"/>
      <c r="C2" s="179"/>
      <c r="D2" s="179"/>
      <c r="E2" s="179"/>
      <c r="F2" s="179"/>
      <c r="G2" s="179"/>
      <c r="H2" s="179"/>
      <c r="I2" s="179"/>
      <c r="J2" s="179"/>
      <c r="K2" s="179"/>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25">
      <c r="B4" s="14" t="s">
        <v>835</v>
      </c>
      <c r="E4" s="135" t="s">
        <v>508</v>
      </c>
      <c r="F4" s="74" t="s">
        <v>509</v>
      </c>
      <c r="G4" s="135" t="s">
        <v>510</v>
      </c>
      <c r="H4" s="135" t="s">
        <v>511</v>
      </c>
      <c r="I4" s="135" t="s">
        <v>512</v>
      </c>
      <c r="J4" s="135" t="s">
        <v>513</v>
      </c>
      <c r="K4" s="135" t="s">
        <v>514</v>
      </c>
      <c r="L4" s="74"/>
      <c r="M4" s="135"/>
      <c r="N4" s="74" t="s">
        <v>515</v>
      </c>
      <c r="O4" s="74" t="s">
        <v>547</v>
      </c>
      <c r="P4" s="135" t="s">
        <v>548</v>
      </c>
      <c r="Q4" s="135" t="s">
        <v>549</v>
      </c>
      <c r="R4" s="135" t="s">
        <v>643</v>
      </c>
      <c r="S4" s="135" t="s">
        <v>644</v>
      </c>
      <c r="T4" s="135" t="s">
        <v>645</v>
      </c>
      <c r="U4" s="135" t="s">
        <v>646</v>
      </c>
      <c r="V4" s="135" t="s">
        <v>753</v>
      </c>
      <c r="W4" s="135" t="s">
        <v>687</v>
      </c>
      <c r="X4" s="135"/>
      <c r="Y4" s="135" t="s">
        <v>688</v>
      </c>
      <c r="Z4" s="135" t="s">
        <v>689</v>
      </c>
      <c r="AA4" s="135" t="s">
        <v>690</v>
      </c>
      <c r="AB4" s="74"/>
      <c r="AD4" s="74" t="s">
        <v>691</v>
      </c>
      <c r="AE4" s="74" t="s">
        <v>692</v>
      </c>
      <c r="AF4" s="135" t="s">
        <v>693</v>
      </c>
      <c r="AG4" s="135" t="s">
        <v>694</v>
      </c>
      <c r="AH4" s="135" t="s">
        <v>695</v>
      </c>
      <c r="AI4" s="135" t="s">
        <v>696</v>
      </c>
      <c r="AJ4" s="135" t="s">
        <v>697</v>
      </c>
      <c r="AK4" s="135" t="s">
        <v>739</v>
      </c>
      <c r="AL4" s="135" t="s">
        <v>740</v>
      </c>
      <c r="AM4" s="135" t="s">
        <v>754</v>
      </c>
      <c r="AO4" s="135" t="s">
        <v>755</v>
      </c>
      <c r="AP4" s="135" t="s">
        <v>756</v>
      </c>
      <c r="AQ4" s="135" t="s">
        <v>757</v>
      </c>
      <c r="AR4" s="74"/>
    </row>
    <row r="5" spans="1:46" x14ac:dyDescent="0.25">
      <c r="G5" s="178"/>
      <c r="H5" s="178"/>
      <c r="I5" s="178"/>
      <c r="J5" s="178"/>
      <c r="K5" s="121"/>
      <c r="W5" s="121"/>
      <c r="AM5" s="121"/>
    </row>
    <row r="6" spans="1:46" x14ac:dyDescent="0.25">
      <c r="G6" s="120" t="s">
        <v>647</v>
      </c>
      <c r="H6" s="120" t="s">
        <v>648</v>
      </c>
      <c r="I6" s="120" t="s">
        <v>649</v>
      </c>
      <c r="J6" s="120" t="s">
        <v>752</v>
      </c>
      <c r="K6" s="120" t="s">
        <v>775</v>
      </c>
      <c r="O6" s="177" t="s">
        <v>647</v>
      </c>
      <c r="P6" s="177"/>
      <c r="Q6" s="177" t="s">
        <v>648</v>
      </c>
      <c r="R6" s="177"/>
      <c r="S6" s="177" t="s">
        <v>649</v>
      </c>
      <c r="T6" s="177"/>
      <c r="U6" s="177" t="s">
        <v>752</v>
      </c>
      <c r="V6" s="177"/>
      <c r="W6" s="120" t="s">
        <v>775</v>
      </c>
      <c r="Y6" s="121"/>
      <c r="Z6" s="121"/>
      <c r="AA6" s="121"/>
      <c r="AE6" s="177" t="s">
        <v>647</v>
      </c>
      <c r="AF6" s="177"/>
      <c r="AG6" s="177" t="s">
        <v>648</v>
      </c>
      <c r="AH6" s="177"/>
      <c r="AI6" s="177" t="s">
        <v>649</v>
      </c>
      <c r="AJ6" s="177"/>
      <c r="AK6" s="177" t="s">
        <v>752</v>
      </c>
      <c r="AL6" s="177"/>
      <c r="AM6" s="120" t="s">
        <v>775</v>
      </c>
      <c r="AO6" s="121"/>
      <c r="AP6" s="121"/>
      <c r="AQ6" s="121"/>
      <c r="AT6" s="21" t="s">
        <v>746</v>
      </c>
    </row>
    <row r="7" spans="1:46" x14ac:dyDescent="0.25">
      <c r="B7" s="34"/>
      <c r="C7" s="34"/>
      <c r="D7" s="34"/>
      <c r="E7" s="118" t="s">
        <v>546</v>
      </c>
      <c r="F7" s="118" t="s">
        <v>140</v>
      </c>
      <c r="G7" s="118" t="s">
        <v>550</v>
      </c>
      <c r="H7" s="118" t="s">
        <v>550</v>
      </c>
      <c r="I7" s="118" t="s">
        <v>550</v>
      </c>
      <c r="J7" s="118" t="s">
        <v>550</v>
      </c>
      <c r="K7" s="118"/>
      <c r="L7" s="118" t="s">
        <v>662</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662</v>
      </c>
      <c r="AC7" s="118"/>
      <c r="AD7" s="118" t="s">
        <v>140</v>
      </c>
      <c r="AE7" s="118" t="s">
        <v>151</v>
      </c>
      <c r="AF7" s="118" t="s">
        <v>545</v>
      </c>
      <c r="AG7" s="118" t="s">
        <v>151</v>
      </c>
      <c r="AH7" s="118" t="s">
        <v>545</v>
      </c>
      <c r="AI7" s="118" t="s">
        <v>151</v>
      </c>
      <c r="AJ7" s="118" t="s">
        <v>545</v>
      </c>
      <c r="AK7" s="118" t="s">
        <v>151</v>
      </c>
      <c r="AL7" s="118" t="s">
        <v>545</v>
      </c>
      <c r="AM7" s="118"/>
      <c r="AN7" s="118"/>
      <c r="AO7" s="118" t="s">
        <v>151</v>
      </c>
      <c r="AP7" s="118" t="s">
        <v>545</v>
      </c>
      <c r="AQ7" s="118" t="s">
        <v>0</v>
      </c>
      <c r="AR7" s="118" t="s">
        <v>662</v>
      </c>
    </row>
    <row r="8" spans="1:46" x14ac:dyDescent="0.25">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25">
      <c r="A9" s="118">
        <v>1</v>
      </c>
      <c r="B9" s="35" t="s">
        <v>251</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25">
      <c r="A10" s="118">
        <f>+A9+1</f>
        <v>2</v>
      </c>
      <c r="B10" s="57">
        <v>500</v>
      </c>
      <c r="C10" s="37" t="s">
        <v>364</v>
      </c>
      <c r="D10" s="34" t="s">
        <v>252</v>
      </c>
      <c r="E10" s="25">
        <v>5673132</v>
      </c>
      <c r="F10" s="72">
        <v>101</v>
      </c>
      <c r="G10" s="1">
        <f>VLOOKUP($F10,AF!$B$39:$M$80,G$9)*$E10</f>
        <v>0</v>
      </c>
      <c r="H10" s="1">
        <f>VLOOKUP($F10,AF!$B$39:$M$80,H$9)*$E10</f>
        <v>0</v>
      </c>
      <c r="I10" s="1">
        <f>VLOOKUP($F10,AF!$B$39:$M$80,I$9)*$E10</f>
        <v>0</v>
      </c>
      <c r="J10" s="1">
        <f>VLOOKUP($F10,AF!$B$39:$M$80,J$9)*$E10</f>
        <v>0</v>
      </c>
      <c r="K10" s="1">
        <f>E10-SUM(G10:J10)</f>
        <v>5673132</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5673132</v>
      </c>
      <c r="Y10" s="1">
        <f t="shared" ref="Y10:Y18" si="1">+O10+Q10+S10+U10</f>
        <v>0</v>
      </c>
      <c r="Z10" s="1">
        <f t="shared" ref="Z10:Z18" si="2">+P10+R10+T10+V10</f>
        <v>0</v>
      </c>
      <c r="AA10" s="1">
        <f>+Z10+Y10+W10</f>
        <v>5673132</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5673132</v>
      </c>
      <c r="AO10" s="1">
        <f t="shared" ref="AO10:AO18" si="3">+AE10+AG10+AI10+AK10</f>
        <v>0</v>
      </c>
      <c r="AP10" s="1">
        <f t="shared" ref="AP10:AP18" si="4">+AF10+AH10+AJ10+AL10</f>
        <v>0</v>
      </c>
      <c r="AQ10" s="1">
        <f>+AP10+AO10+AM10</f>
        <v>5673132</v>
      </c>
      <c r="AR10" s="72">
        <f>$E10-AQ10</f>
        <v>0</v>
      </c>
    </row>
    <row r="11" spans="1:46" x14ac:dyDescent="0.25">
      <c r="A11" s="118">
        <f t="shared" ref="A11:A74" si="5">+A10+1</f>
        <v>3</v>
      </c>
      <c r="B11" s="79">
        <v>501</v>
      </c>
      <c r="C11" s="37" t="s">
        <v>38</v>
      </c>
      <c r="D11" s="34" t="s">
        <v>253</v>
      </c>
      <c r="E11" s="25">
        <v>49197642</v>
      </c>
      <c r="F11" s="72">
        <v>101</v>
      </c>
      <c r="G11" s="1">
        <f>VLOOKUP($F11,AF!$B$39:$M$80,G$9)*$E11</f>
        <v>0</v>
      </c>
      <c r="H11" s="1">
        <f>VLOOKUP($F11,AF!$B$39:$M$80,H$9)*$E11</f>
        <v>0</v>
      </c>
      <c r="I11" s="1">
        <f>VLOOKUP($F11,AF!$B$39:$M$80,I$9)*$E11</f>
        <v>0</v>
      </c>
      <c r="J11" s="1">
        <f>VLOOKUP($F11,AF!$B$39:$M$80,J$9)*$E11</f>
        <v>0</v>
      </c>
      <c r="K11" s="1">
        <f t="shared" ref="K11:K18" si="6">E11-SUM(G11:J11)</f>
        <v>49197642</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49197642</v>
      </c>
      <c r="Y11" s="1">
        <f t="shared" si="1"/>
        <v>0</v>
      </c>
      <c r="Z11" s="1">
        <f t="shared" si="2"/>
        <v>0</v>
      </c>
      <c r="AA11" s="1">
        <f t="shared" ref="AA11:AA18" si="8">+Z11+Y11+W11</f>
        <v>49197642</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49197642</v>
      </c>
      <c r="AO11" s="1">
        <f t="shared" si="3"/>
        <v>0</v>
      </c>
      <c r="AP11" s="1">
        <f t="shared" si="4"/>
        <v>0</v>
      </c>
      <c r="AQ11" s="1">
        <f t="shared" ref="AQ11:AQ18" si="11">+AP11+AO11+AM11</f>
        <v>49197642</v>
      </c>
      <c r="AR11" s="72">
        <f t="shared" ref="AR11:AR19" si="12">$E11-AQ11</f>
        <v>0</v>
      </c>
    </row>
    <row r="12" spans="1:46" x14ac:dyDescent="0.25">
      <c r="A12" s="118">
        <f t="shared" si="5"/>
        <v>4</v>
      </c>
      <c r="B12" s="79">
        <v>502</v>
      </c>
      <c r="C12" s="37" t="s">
        <v>254</v>
      </c>
      <c r="D12" s="34" t="s">
        <v>255</v>
      </c>
      <c r="E12" s="25">
        <v>389510</v>
      </c>
      <c r="F12" s="72">
        <v>101</v>
      </c>
      <c r="G12" s="1">
        <f>VLOOKUP($F12,AF!$B$39:$M$80,G$9)*$E12</f>
        <v>0</v>
      </c>
      <c r="H12" s="1">
        <f>VLOOKUP($F12,AF!$B$39:$M$80,H$9)*$E12</f>
        <v>0</v>
      </c>
      <c r="I12" s="1">
        <f>VLOOKUP($F12,AF!$B$39:$M$80,I$9)*$E12</f>
        <v>0</v>
      </c>
      <c r="J12" s="1">
        <f>VLOOKUP($F12,AF!$B$39:$M$80,J$9)*$E12</f>
        <v>0</v>
      </c>
      <c r="K12" s="1">
        <f t="shared" si="6"/>
        <v>389510</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389510</v>
      </c>
      <c r="Y12" s="1">
        <f t="shared" si="1"/>
        <v>0</v>
      </c>
      <c r="Z12" s="1">
        <f t="shared" si="2"/>
        <v>0</v>
      </c>
      <c r="AA12" s="1">
        <f t="shared" si="8"/>
        <v>389510</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389510</v>
      </c>
      <c r="AO12" s="1">
        <f t="shared" si="3"/>
        <v>0</v>
      </c>
      <c r="AP12" s="1">
        <f t="shared" si="4"/>
        <v>0</v>
      </c>
      <c r="AQ12" s="1">
        <f t="shared" si="11"/>
        <v>389510</v>
      </c>
      <c r="AR12" s="72">
        <f t="shared" si="12"/>
        <v>0</v>
      </c>
    </row>
    <row r="13" spans="1:46" x14ac:dyDescent="0.25">
      <c r="A13" s="118">
        <f t="shared" si="5"/>
        <v>5</v>
      </c>
      <c r="B13" s="79">
        <v>503</v>
      </c>
      <c r="C13" s="37" t="s">
        <v>256</v>
      </c>
      <c r="D13" s="34" t="s">
        <v>257</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25">
      <c r="A14" s="118">
        <f t="shared" si="5"/>
        <v>6</v>
      </c>
      <c r="B14" s="79">
        <v>504</v>
      </c>
      <c r="C14" s="37" t="s">
        <v>258</v>
      </c>
      <c r="D14" s="34" t="s">
        <v>259</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25">
      <c r="A15" s="118">
        <f t="shared" si="5"/>
        <v>7</v>
      </c>
      <c r="B15" s="79">
        <v>505</v>
      </c>
      <c r="C15" s="37" t="s">
        <v>260</v>
      </c>
      <c r="D15" s="34" t="s">
        <v>261</v>
      </c>
      <c r="E15" s="25">
        <v>536778</v>
      </c>
      <c r="F15" s="72">
        <v>101</v>
      </c>
      <c r="G15" s="1">
        <f>VLOOKUP($F15,AF!$B$39:$M$80,G$9)*$E15</f>
        <v>0</v>
      </c>
      <c r="H15" s="1">
        <f>VLOOKUP($F15,AF!$B$39:$M$80,H$9)*$E15</f>
        <v>0</v>
      </c>
      <c r="I15" s="1">
        <f>VLOOKUP($F15,AF!$B$39:$M$80,I$9)*$E15</f>
        <v>0</v>
      </c>
      <c r="J15" s="1">
        <f>VLOOKUP($F15,AF!$B$39:$M$80,J$9)*$E15</f>
        <v>0</v>
      </c>
      <c r="K15" s="1">
        <f t="shared" si="6"/>
        <v>536778</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536778</v>
      </c>
      <c r="Y15" s="1">
        <f t="shared" si="1"/>
        <v>0</v>
      </c>
      <c r="Z15" s="1">
        <f t="shared" si="2"/>
        <v>0</v>
      </c>
      <c r="AA15" s="1">
        <f t="shared" si="8"/>
        <v>536778</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536778</v>
      </c>
      <c r="AO15" s="1">
        <f t="shared" si="3"/>
        <v>0</v>
      </c>
      <c r="AP15" s="1">
        <f t="shared" si="4"/>
        <v>0</v>
      </c>
      <c r="AQ15" s="1">
        <f t="shared" si="11"/>
        <v>536778</v>
      </c>
      <c r="AR15" s="72">
        <f t="shared" si="12"/>
        <v>0</v>
      </c>
    </row>
    <row r="16" spans="1:46" x14ac:dyDescent="0.25">
      <c r="A16" s="118">
        <f t="shared" si="5"/>
        <v>8</v>
      </c>
      <c r="B16" s="79">
        <v>506</v>
      </c>
      <c r="C16" s="37" t="s">
        <v>262</v>
      </c>
      <c r="D16" s="34" t="s">
        <v>263</v>
      </c>
      <c r="E16" s="25">
        <v>1836436</v>
      </c>
      <c r="F16" s="72">
        <v>101</v>
      </c>
      <c r="G16" s="1">
        <f>VLOOKUP($F16,AF!$B$39:$M$80,G$9)*$E16</f>
        <v>0</v>
      </c>
      <c r="H16" s="1">
        <f>VLOOKUP($F16,AF!$B$39:$M$80,H$9)*$E16</f>
        <v>0</v>
      </c>
      <c r="I16" s="1">
        <f>VLOOKUP($F16,AF!$B$39:$M$80,I$9)*$E16</f>
        <v>0</v>
      </c>
      <c r="J16" s="1">
        <f>VLOOKUP($F16,AF!$B$39:$M$80,J$9)*$E16</f>
        <v>0</v>
      </c>
      <c r="K16" s="1">
        <f t="shared" si="6"/>
        <v>1836436</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1836436</v>
      </c>
      <c r="Y16" s="1">
        <f t="shared" si="1"/>
        <v>0</v>
      </c>
      <c r="Z16" s="1">
        <f t="shared" si="2"/>
        <v>0</v>
      </c>
      <c r="AA16" s="1">
        <f t="shared" si="8"/>
        <v>1836436</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1836436</v>
      </c>
      <c r="AO16" s="1">
        <f t="shared" si="3"/>
        <v>0</v>
      </c>
      <c r="AP16" s="1">
        <f t="shared" si="4"/>
        <v>0</v>
      </c>
      <c r="AQ16" s="1">
        <f t="shared" si="11"/>
        <v>1836436</v>
      </c>
      <c r="AR16" s="72">
        <f t="shared" si="12"/>
        <v>0</v>
      </c>
    </row>
    <row r="17" spans="1:44" x14ac:dyDescent="0.25">
      <c r="A17" s="118">
        <f t="shared" si="5"/>
        <v>9</v>
      </c>
      <c r="B17" s="79">
        <v>507</v>
      </c>
      <c r="C17" s="37" t="s">
        <v>61</v>
      </c>
      <c r="D17" s="34" t="s">
        <v>264</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25">
      <c r="A18" s="118">
        <f t="shared" si="5"/>
        <v>10</v>
      </c>
      <c r="B18" s="79">
        <v>509</v>
      </c>
      <c r="C18" s="37" t="s">
        <v>265</v>
      </c>
      <c r="D18" s="34" t="s">
        <v>266</v>
      </c>
      <c r="E18" s="25">
        <v>7541</v>
      </c>
      <c r="F18" s="72">
        <v>101</v>
      </c>
      <c r="G18" s="1">
        <f>VLOOKUP($F18,AF!$B$39:$M$80,G$9)*$E18</f>
        <v>0</v>
      </c>
      <c r="H18" s="1">
        <f>VLOOKUP($F18,AF!$B$39:$M$80,H$9)*$E18</f>
        <v>0</v>
      </c>
      <c r="I18" s="1">
        <f>VLOOKUP($F18,AF!$B$39:$M$80,I$9)*$E18</f>
        <v>0</v>
      </c>
      <c r="J18" s="1">
        <f>VLOOKUP($F18,AF!$B$39:$M$80,J$9)*$E18</f>
        <v>0</v>
      </c>
      <c r="K18" s="1">
        <f t="shared" si="6"/>
        <v>7541</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7541</v>
      </c>
      <c r="Y18" s="1">
        <f t="shared" si="1"/>
        <v>0</v>
      </c>
      <c r="Z18" s="1">
        <f t="shared" si="2"/>
        <v>0</v>
      </c>
      <c r="AA18" s="1">
        <f t="shared" si="8"/>
        <v>7541</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7541</v>
      </c>
      <c r="AO18" s="1">
        <f t="shared" si="3"/>
        <v>0</v>
      </c>
      <c r="AP18" s="1">
        <f t="shared" si="4"/>
        <v>0</v>
      </c>
      <c r="AQ18" s="1">
        <f t="shared" si="11"/>
        <v>7541</v>
      </c>
      <c r="AR18" s="72">
        <f t="shared" si="12"/>
        <v>0</v>
      </c>
    </row>
    <row r="19" spans="1:44" x14ac:dyDescent="0.25">
      <c r="A19" s="118">
        <f t="shared" si="5"/>
        <v>11</v>
      </c>
      <c r="B19" s="37"/>
      <c r="C19" s="37" t="s">
        <v>0</v>
      </c>
      <c r="D19" s="34"/>
      <c r="E19" s="61">
        <f>SUM(E10:E18)</f>
        <v>57641039</v>
      </c>
      <c r="F19" s="29"/>
      <c r="G19" s="61">
        <f t="shared" ref="G19:K19" si="13">SUM(G10:G18)</f>
        <v>0</v>
      </c>
      <c r="H19" s="61">
        <f t="shared" si="13"/>
        <v>0</v>
      </c>
      <c r="I19" s="61">
        <f t="shared" si="13"/>
        <v>0</v>
      </c>
      <c r="J19" s="61">
        <f t="shared" si="13"/>
        <v>0</v>
      </c>
      <c r="K19" s="61">
        <f t="shared" si="13"/>
        <v>57641039</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57641039</v>
      </c>
      <c r="Y19" s="61">
        <f t="shared" ref="Y19:AA19" si="15">SUM(Y10:Y18)</f>
        <v>0</v>
      </c>
      <c r="Z19" s="61">
        <f t="shared" si="15"/>
        <v>0</v>
      </c>
      <c r="AA19" s="61">
        <f t="shared" si="15"/>
        <v>57641039</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57641039</v>
      </c>
      <c r="AO19" s="61">
        <f t="shared" ref="AO19:AQ19" si="17">SUM(AO10:AO18)</f>
        <v>0</v>
      </c>
      <c r="AP19" s="61">
        <f t="shared" si="17"/>
        <v>0</v>
      </c>
      <c r="AQ19" s="61">
        <f t="shared" si="17"/>
        <v>57641039</v>
      </c>
      <c r="AR19" s="72">
        <f t="shared" si="12"/>
        <v>0</v>
      </c>
    </row>
    <row r="20" spans="1:44" x14ac:dyDescent="0.25">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25">
      <c r="A21" s="118">
        <f t="shared" si="5"/>
        <v>13</v>
      </c>
      <c r="B21" s="35" t="s">
        <v>267</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25">
      <c r="A22" s="118">
        <f t="shared" si="5"/>
        <v>14</v>
      </c>
      <c r="B22" s="57">
        <v>510</v>
      </c>
      <c r="C22" s="34" t="s">
        <v>268</v>
      </c>
      <c r="D22" s="34" t="s">
        <v>269</v>
      </c>
      <c r="E22" s="25">
        <v>0</v>
      </c>
      <c r="F22" s="8">
        <v>101</v>
      </c>
      <c r="G22" s="1">
        <f>VLOOKUP($F22,AF!$B$39:$M$80,G$9)*$E22</f>
        <v>0</v>
      </c>
      <c r="H22" s="1">
        <f>VLOOKUP($F22,AF!$B$39:$M$80,H$9)*$E22</f>
        <v>0</v>
      </c>
      <c r="I22" s="1">
        <f>VLOOKUP($F22,AF!$B$39:$M$80,I$9)*$E22</f>
        <v>0</v>
      </c>
      <c r="J22" s="1">
        <f>VLOOKUP($F22,AF!$B$39:$M$80,J$9)*$E22</f>
        <v>0</v>
      </c>
      <c r="K22" s="1">
        <f t="shared" ref="K22:K26" si="18">E22-SUM(G22:J22)</f>
        <v>0</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72">
        <f t="shared" ref="AR22:AR27" si="27">$E22-AQ22</f>
        <v>0</v>
      </c>
    </row>
    <row r="23" spans="1:44" x14ac:dyDescent="0.25">
      <c r="A23" s="118">
        <f t="shared" si="5"/>
        <v>15</v>
      </c>
      <c r="B23" s="79">
        <v>511</v>
      </c>
      <c r="C23" s="37" t="s">
        <v>270</v>
      </c>
      <c r="D23" s="34" t="s">
        <v>271</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25">
      <c r="A24" s="118">
        <f t="shared" si="5"/>
        <v>16</v>
      </c>
      <c r="B24" s="79">
        <v>512</v>
      </c>
      <c r="C24" s="37" t="s">
        <v>272</v>
      </c>
      <c r="D24" s="34" t="s">
        <v>273</v>
      </c>
      <c r="E24" s="25">
        <v>17182493</v>
      </c>
      <c r="F24" s="8">
        <v>101</v>
      </c>
      <c r="G24" s="1">
        <f>VLOOKUP($F24,AF!$B$39:$M$80,G$9)*$E24</f>
        <v>0</v>
      </c>
      <c r="H24" s="1">
        <f>VLOOKUP($F24,AF!$B$39:$M$80,H$9)*$E24</f>
        <v>0</v>
      </c>
      <c r="I24" s="1">
        <f>VLOOKUP($F24,AF!$B$39:$M$80,I$9)*$E24</f>
        <v>0</v>
      </c>
      <c r="J24" s="1">
        <f>VLOOKUP($F24,AF!$B$39:$M$80,J$9)*$E24</f>
        <v>0</v>
      </c>
      <c r="K24" s="1">
        <f t="shared" si="18"/>
        <v>17182493</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17182493</v>
      </c>
      <c r="Y24" s="1">
        <f t="shared" si="21"/>
        <v>0</v>
      </c>
      <c r="Z24" s="1">
        <f t="shared" si="21"/>
        <v>0</v>
      </c>
      <c r="AA24" s="1">
        <f t="shared" si="22"/>
        <v>17182493</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17182493</v>
      </c>
      <c r="AO24" s="1">
        <f t="shared" si="25"/>
        <v>0</v>
      </c>
      <c r="AP24" s="1">
        <f t="shared" si="25"/>
        <v>0</v>
      </c>
      <c r="AQ24" s="1">
        <f t="shared" si="26"/>
        <v>17182493</v>
      </c>
      <c r="AR24" s="72">
        <f t="shared" si="27"/>
        <v>0</v>
      </c>
    </row>
    <row r="25" spans="1:44" x14ac:dyDescent="0.25">
      <c r="A25" s="118">
        <f t="shared" si="5"/>
        <v>17</v>
      </c>
      <c r="B25" s="79">
        <v>513</v>
      </c>
      <c r="C25" s="37" t="s">
        <v>274</v>
      </c>
      <c r="D25" s="34" t="s">
        <v>275</v>
      </c>
      <c r="E25" s="25">
        <v>4801040</v>
      </c>
      <c r="F25" s="8">
        <v>101</v>
      </c>
      <c r="G25" s="1">
        <f>VLOOKUP($F25,AF!$B$39:$M$80,G$9)*$E25</f>
        <v>0</v>
      </c>
      <c r="H25" s="1">
        <f>VLOOKUP($F25,AF!$B$39:$M$80,H$9)*$E25</f>
        <v>0</v>
      </c>
      <c r="I25" s="1">
        <f>VLOOKUP($F25,AF!$B$39:$M$80,I$9)*$E25</f>
        <v>0</v>
      </c>
      <c r="J25" s="1">
        <f>VLOOKUP($F25,AF!$B$39:$M$80,J$9)*$E25</f>
        <v>0</v>
      </c>
      <c r="K25" s="1">
        <f t="shared" si="18"/>
        <v>4801040</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4801040</v>
      </c>
      <c r="Y25" s="1">
        <f t="shared" si="21"/>
        <v>0</v>
      </c>
      <c r="Z25" s="1">
        <f t="shared" si="21"/>
        <v>0</v>
      </c>
      <c r="AA25" s="1">
        <f t="shared" si="22"/>
        <v>4801040</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4801040</v>
      </c>
      <c r="AO25" s="1">
        <f t="shared" si="25"/>
        <v>0</v>
      </c>
      <c r="AP25" s="1">
        <f t="shared" si="25"/>
        <v>0</v>
      </c>
      <c r="AQ25" s="1">
        <f t="shared" si="26"/>
        <v>4801040</v>
      </c>
      <c r="AR25" s="72">
        <f t="shared" si="27"/>
        <v>0</v>
      </c>
    </row>
    <row r="26" spans="1:44" x14ac:dyDescent="0.25">
      <c r="A26" s="118">
        <f t="shared" si="5"/>
        <v>18</v>
      </c>
      <c r="B26" s="79">
        <v>514</v>
      </c>
      <c r="C26" s="37" t="s">
        <v>276</v>
      </c>
      <c r="D26" s="34" t="s">
        <v>277</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25">
      <c r="A27" s="118">
        <f t="shared" si="5"/>
        <v>19</v>
      </c>
      <c r="B27" s="37"/>
      <c r="C27" s="37" t="s">
        <v>0</v>
      </c>
      <c r="D27" s="34"/>
      <c r="E27" s="61">
        <f>SUM(E22:E26)</f>
        <v>21983533</v>
      </c>
      <c r="F27" s="29"/>
      <c r="G27" s="61">
        <f t="shared" ref="G27:I27" si="28">SUM(G22:G26)</f>
        <v>0</v>
      </c>
      <c r="H27" s="61">
        <f t="shared" si="28"/>
        <v>0</v>
      </c>
      <c r="I27" s="61">
        <f t="shared" si="28"/>
        <v>0</v>
      </c>
      <c r="J27" s="61">
        <f t="shared" ref="J27:K27" si="29">SUM(J22:J26)</f>
        <v>0</v>
      </c>
      <c r="K27" s="61">
        <f t="shared" si="29"/>
        <v>21983533</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21983533</v>
      </c>
      <c r="Y27" s="61">
        <f t="shared" ref="Y27:AA27" si="35">SUM(Y22:Y26)</f>
        <v>0</v>
      </c>
      <c r="Z27" s="61">
        <f t="shared" si="35"/>
        <v>0</v>
      </c>
      <c r="AA27" s="61">
        <f t="shared" si="35"/>
        <v>21983533</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21983533</v>
      </c>
      <c r="AO27" s="61">
        <f t="shared" ref="AO27:AQ27" si="37">SUM(AO22:AO26)</f>
        <v>0</v>
      </c>
      <c r="AP27" s="61">
        <f t="shared" si="37"/>
        <v>0</v>
      </c>
      <c r="AQ27" s="61">
        <f t="shared" si="37"/>
        <v>21983533</v>
      </c>
      <c r="AR27" s="72">
        <f t="shared" si="27"/>
        <v>0</v>
      </c>
    </row>
    <row r="28" spans="1:44" x14ac:dyDescent="0.25">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5.75" thickBot="1" x14ac:dyDescent="0.3">
      <c r="A29" s="118">
        <f t="shared" si="5"/>
        <v>21</v>
      </c>
      <c r="B29" s="37" t="s">
        <v>390</v>
      </c>
      <c r="C29" s="37"/>
      <c r="D29" s="34"/>
      <c r="E29" s="62">
        <f>+E19+E27</f>
        <v>79624572</v>
      </c>
      <c r="F29" s="29"/>
      <c r="G29" s="62">
        <f t="shared" ref="G29:K29" si="38">+G19+G27</f>
        <v>0</v>
      </c>
      <c r="H29" s="62">
        <f t="shared" si="38"/>
        <v>0</v>
      </c>
      <c r="I29" s="62">
        <f t="shared" si="38"/>
        <v>0</v>
      </c>
      <c r="J29" s="62">
        <f t="shared" si="38"/>
        <v>0</v>
      </c>
      <c r="K29" s="62">
        <f t="shared" si="38"/>
        <v>79624572</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79624572</v>
      </c>
      <c r="Y29" s="62">
        <f t="shared" ref="Y29:AA29" si="40">+Y19+Y27</f>
        <v>0</v>
      </c>
      <c r="Z29" s="62">
        <f t="shared" si="40"/>
        <v>0</v>
      </c>
      <c r="AA29" s="62">
        <f t="shared" si="40"/>
        <v>79624572</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79624572</v>
      </c>
      <c r="AO29" s="62">
        <f t="shared" ref="AO29:AQ29" si="42">+AO19+AO27</f>
        <v>0</v>
      </c>
      <c r="AP29" s="62">
        <f t="shared" si="42"/>
        <v>0</v>
      </c>
      <c r="AQ29" s="62">
        <f t="shared" si="42"/>
        <v>79624572</v>
      </c>
      <c r="AR29" s="72">
        <f>$E29-AQ29</f>
        <v>0</v>
      </c>
    </row>
    <row r="30" spans="1:44" ht="15.75" thickTop="1" x14ac:dyDescent="0.25">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25">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25">
      <c r="A32" s="118">
        <f t="shared" si="5"/>
        <v>24</v>
      </c>
      <c r="B32" s="35" t="s">
        <v>278</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25">
      <c r="A33" s="118">
        <f t="shared" si="5"/>
        <v>25</v>
      </c>
      <c r="B33" s="79">
        <v>546</v>
      </c>
      <c r="C33" s="37" t="s">
        <v>364</v>
      </c>
      <c r="D33" s="34" t="s">
        <v>279</v>
      </c>
      <c r="E33" s="25">
        <v>6661085</v>
      </c>
      <c r="F33" s="8">
        <v>101</v>
      </c>
      <c r="G33" s="1">
        <f>VLOOKUP($F33,AF!$B$39:$M$80,G$9)*$E33</f>
        <v>0</v>
      </c>
      <c r="H33" s="1">
        <f>VLOOKUP($F33,AF!$B$39:$M$80,H$9)*$E33</f>
        <v>0</v>
      </c>
      <c r="I33" s="1">
        <f>VLOOKUP($F33,AF!$B$39:$M$80,I$9)*$E33</f>
        <v>0</v>
      </c>
      <c r="J33" s="1">
        <f>VLOOKUP($F33,AF!$B$39:$M$80,J$9)*$E33</f>
        <v>0</v>
      </c>
      <c r="K33" s="1">
        <f t="shared" ref="K33:K37" si="43">E33-SUM(G33:J33)</f>
        <v>6661085</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6661085</v>
      </c>
      <c r="Y33" s="1">
        <f t="shared" ref="Y33:Z37" si="46">+O33+Q33+S33+U33</f>
        <v>0</v>
      </c>
      <c r="Z33" s="1">
        <f t="shared" si="46"/>
        <v>0</v>
      </c>
      <c r="AA33" s="1">
        <f t="shared" ref="AA33:AA37" si="47">+Z33+Y33+W33</f>
        <v>6661085</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6661085</v>
      </c>
      <c r="AO33" s="1">
        <f t="shared" ref="AO33:AP37" si="50">+AE33+AG33+AI33+AK33</f>
        <v>0</v>
      </c>
      <c r="AP33" s="1">
        <f t="shared" si="50"/>
        <v>0</v>
      </c>
      <c r="AQ33" s="1">
        <f t="shared" ref="AQ33:AQ37" si="51">+AP33+AO33+AM33</f>
        <v>6661085</v>
      </c>
      <c r="AR33" s="72">
        <f t="shared" ref="AR33:AR38" si="52">$E33-AQ33</f>
        <v>0</v>
      </c>
    </row>
    <row r="34" spans="1:44" x14ac:dyDescent="0.25">
      <c r="A34" s="118">
        <f t="shared" si="5"/>
        <v>26</v>
      </c>
      <c r="B34" s="57">
        <v>547</v>
      </c>
      <c r="C34" s="34" t="s">
        <v>38</v>
      </c>
      <c r="D34" s="34" t="s">
        <v>40</v>
      </c>
      <c r="E34" s="25">
        <v>199312949</v>
      </c>
      <c r="F34" s="8">
        <v>101</v>
      </c>
      <c r="G34" s="1">
        <f>VLOOKUP($F34,AF!$B$39:$M$80,G$9)*$E34</f>
        <v>0</v>
      </c>
      <c r="H34" s="1">
        <f>VLOOKUP($F34,AF!$B$39:$M$80,H$9)*$E34</f>
        <v>0</v>
      </c>
      <c r="I34" s="1">
        <f>VLOOKUP($F34,AF!$B$39:$M$80,I$9)*$E34</f>
        <v>0</v>
      </c>
      <c r="J34" s="1">
        <f>VLOOKUP($F34,AF!$B$39:$M$80,J$9)*$E34</f>
        <v>0</v>
      </c>
      <c r="K34" s="1">
        <f t="shared" si="43"/>
        <v>199312949</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199312949</v>
      </c>
      <c r="Y34" s="1">
        <f t="shared" si="46"/>
        <v>0</v>
      </c>
      <c r="Z34" s="1">
        <f t="shared" si="46"/>
        <v>0</v>
      </c>
      <c r="AA34" s="1">
        <f t="shared" si="47"/>
        <v>199312949</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199312949</v>
      </c>
      <c r="AO34" s="1">
        <f t="shared" si="50"/>
        <v>0</v>
      </c>
      <c r="AP34" s="1">
        <f t="shared" si="50"/>
        <v>0</v>
      </c>
      <c r="AQ34" s="1">
        <f t="shared" si="51"/>
        <v>199312949</v>
      </c>
      <c r="AR34" s="72">
        <f t="shared" si="52"/>
        <v>0</v>
      </c>
    </row>
    <row r="35" spans="1:44" x14ac:dyDescent="0.25">
      <c r="A35" s="118">
        <f t="shared" si="5"/>
        <v>27</v>
      </c>
      <c r="B35" s="57">
        <v>548</v>
      </c>
      <c r="C35" s="34" t="s">
        <v>39</v>
      </c>
      <c r="D35" s="34" t="s">
        <v>41</v>
      </c>
      <c r="E35" s="28">
        <v>1435748</v>
      </c>
      <c r="F35" s="8">
        <v>101</v>
      </c>
      <c r="G35" s="1">
        <f>VLOOKUP($F35,AF!$B$39:$M$80,G$9)*$E35</f>
        <v>0</v>
      </c>
      <c r="H35" s="1">
        <f>VLOOKUP($F35,AF!$B$39:$M$80,H$9)*$E35</f>
        <v>0</v>
      </c>
      <c r="I35" s="1">
        <f>VLOOKUP($F35,AF!$B$39:$M$80,I$9)*$E35</f>
        <v>0</v>
      </c>
      <c r="J35" s="1">
        <f>VLOOKUP($F35,AF!$B$39:$M$80,J$9)*$E35</f>
        <v>0</v>
      </c>
      <c r="K35" s="1">
        <f t="shared" si="43"/>
        <v>1435748</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1435748</v>
      </c>
      <c r="Y35" s="1">
        <f t="shared" si="46"/>
        <v>0</v>
      </c>
      <c r="Z35" s="1">
        <f t="shared" si="46"/>
        <v>0</v>
      </c>
      <c r="AA35" s="1">
        <f t="shared" si="47"/>
        <v>1435748</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1435748</v>
      </c>
      <c r="AO35" s="1">
        <f t="shared" si="50"/>
        <v>0</v>
      </c>
      <c r="AP35" s="1">
        <f t="shared" si="50"/>
        <v>0</v>
      </c>
      <c r="AQ35" s="1">
        <f t="shared" si="51"/>
        <v>1435748</v>
      </c>
      <c r="AR35" s="72">
        <f t="shared" si="52"/>
        <v>0</v>
      </c>
    </row>
    <row r="36" spans="1:44" x14ac:dyDescent="0.25">
      <c r="A36" s="118">
        <f t="shared" si="5"/>
        <v>28</v>
      </c>
      <c r="B36" s="57">
        <v>549</v>
      </c>
      <c r="C36" s="34" t="s">
        <v>280</v>
      </c>
      <c r="D36" s="34" t="s">
        <v>281</v>
      </c>
      <c r="E36" s="25">
        <v>3088056</v>
      </c>
      <c r="F36" s="8">
        <v>101</v>
      </c>
      <c r="G36" s="1">
        <f>VLOOKUP($F36,AF!$B$39:$M$80,G$9)*$E36</f>
        <v>0</v>
      </c>
      <c r="H36" s="1">
        <f>VLOOKUP($F36,AF!$B$39:$M$80,H$9)*$E36</f>
        <v>0</v>
      </c>
      <c r="I36" s="1">
        <f>VLOOKUP($F36,AF!$B$39:$M$80,I$9)*$E36</f>
        <v>0</v>
      </c>
      <c r="J36" s="1">
        <f>VLOOKUP($F36,AF!$B$39:$M$80,J$9)*$E36</f>
        <v>0</v>
      </c>
      <c r="K36" s="1">
        <f t="shared" si="43"/>
        <v>3088056</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3088056</v>
      </c>
      <c r="Y36" s="1">
        <f t="shared" si="46"/>
        <v>0</v>
      </c>
      <c r="Z36" s="1">
        <f t="shared" si="46"/>
        <v>0</v>
      </c>
      <c r="AA36" s="1">
        <f t="shared" si="47"/>
        <v>3088056</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3088056</v>
      </c>
      <c r="AO36" s="1">
        <f t="shared" si="50"/>
        <v>0</v>
      </c>
      <c r="AP36" s="1">
        <f t="shared" si="50"/>
        <v>0</v>
      </c>
      <c r="AQ36" s="1">
        <f t="shared" si="51"/>
        <v>3088056</v>
      </c>
      <c r="AR36" s="72">
        <f t="shared" si="52"/>
        <v>0</v>
      </c>
    </row>
    <row r="37" spans="1:44" x14ac:dyDescent="0.25">
      <c r="A37" s="118">
        <f t="shared" si="5"/>
        <v>29</v>
      </c>
      <c r="B37" s="57">
        <v>550</v>
      </c>
      <c r="C37" s="34" t="s">
        <v>61</v>
      </c>
      <c r="D37" s="34" t="s">
        <v>282</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25">
      <c r="A38" s="118">
        <f t="shared" si="5"/>
        <v>30</v>
      </c>
      <c r="B38" s="34"/>
      <c r="C38" s="34" t="s">
        <v>0</v>
      </c>
      <c r="D38" s="34"/>
      <c r="E38" s="33">
        <f>SUM(E33:E37)</f>
        <v>210497838</v>
      </c>
      <c r="F38" s="72"/>
      <c r="G38" s="33">
        <f t="shared" ref="G38:K38" si="53">SUM(G33:G37)</f>
        <v>0</v>
      </c>
      <c r="H38" s="33">
        <f t="shared" si="53"/>
        <v>0</v>
      </c>
      <c r="I38" s="33">
        <f t="shared" si="53"/>
        <v>0</v>
      </c>
      <c r="J38" s="33">
        <f t="shared" si="53"/>
        <v>0</v>
      </c>
      <c r="K38" s="33">
        <f t="shared" si="53"/>
        <v>210497838</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210497838</v>
      </c>
      <c r="Y38" s="33">
        <f t="shared" ref="Y38:AA38" si="55">SUM(Y33:Y37)</f>
        <v>0</v>
      </c>
      <c r="Z38" s="33">
        <f t="shared" si="55"/>
        <v>0</v>
      </c>
      <c r="AA38" s="33">
        <f t="shared" si="55"/>
        <v>210497838</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210497838</v>
      </c>
      <c r="AO38" s="33">
        <f t="shared" ref="AO38:AQ38" si="57">SUM(AO33:AO37)</f>
        <v>0</v>
      </c>
      <c r="AP38" s="33">
        <f t="shared" si="57"/>
        <v>0</v>
      </c>
      <c r="AQ38" s="33">
        <f t="shared" si="57"/>
        <v>210497838</v>
      </c>
      <c r="AR38" s="72">
        <f t="shared" si="52"/>
        <v>0</v>
      </c>
    </row>
    <row r="39" spans="1:44" x14ac:dyDescent="0.25">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25">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25">
      <c r="A41" s="118">
        <f t="shared" si="5"/>
        <v>33</v>
      </c>
      <c r="B41" s="35" t="s">
        <v>283</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25">
      <c r="A42" s="118">
        <f t="shared" si="5"/>
        <v>34</v>
      </c>
      <c r="B42" s="57">
        <v>551</v>
      </c>
      <c r="C42" s="34" t="s">
        <v>268</v>
      </c>
      <c r="D42" s="34" t="s">
        <v>284</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25">
      <c r="A43" s="118">
        <f t="shared" si="5"/>
        <v>35</v>
      </c>
      <c r="B43" s="57">
        <v>552</v>
      </c>
      <c r="C43" s="34" t="s">
        <v>270</v>
      </c>
      <c r="D43" s="34" t="s">
        <v>285</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25">
      <c r="A44" s="118">
        <f t="shared" si="5"/>
        <v>36</v>
      </c>
      <c r="B44" s="57">
        <v>553</v>
      </c>
      <c r="C44" s="34" t="s">
        <v>286</v>
      </c>
      <c r="D44" s="34" t="s">
        <v>287</v>
      </c>
      <c r="E44" s="25">
        <v>8761977</v>
      </c>
      <c r="F44" s="8">
        <v>101</v>
      </c>
      <c r="G44" s="1">
        <f>VLOOKUP($F44,AF!$B$39:$M$80,G$9)*$E44</f>
        <v>0</v>
      </c>
      <c r="H44" s="1">
        <f>VLOOKUP($F44,AF!$B$39:$M$80,H$9)*$E44</f>
        <v>0</v>
      </c>
      <c r="I44" s="1">
        <f>VLOOKUP($F44,AF!$B$39:$M$80,I$9)*$E44</f>
        <v>0</v>
      </c>
      <c r="J44" s="1">
        <f>VLOOKUP($F44,AF!$B$39:$M$80,J$9)*$E44</f>
        <v>0</v>
      </c>
      <c r="K44" s="1">
        <f t="shared" si="58"/>
        <v>8761977</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8761977</v>
      </c>
      <c r="Y44" s="1">
        <f t="shared" si="60"/>
        <v>0</v>
      </c>
      <c r="Z44" s="1">
        <f t="shared" si="60"/>
        <v>0</v>
      </c>
      <c r="AA44" s="1">
        <f t="shared" si="61"/>
        <v>8761977</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8761977</v>
      </c>
      <c r="AO44" s="1">
        <f t="shared" si="64"/>
        <v>0</v>
      </c>
      <c r="AP44" s="1">
        <f t="shared" si="64"/>
        <v>0</v>
      </c>
      <c r="AQ44" s="1">
        <f t="shared" si="65"/>
        <v>8761977</v>
      </c>
      <c r="AR44" s="72">
        <f t="shared" si="66"/>
        <v>0</v>
      </c>
    </row>
    <row r="45" spans="1:44" x14ac:dyDescent="0.25">
      <c r="A45" s="118">
        <f t="shared" si="5"/>
        <v>37</v>
      </c>
      <c r="B45" s="57">
        <v>554</v>
      </c>
      <c r="C45" s="34" t="s">
        <v>288</v>
      </c>
      <c r="D45" s="34" t="s">
        <v>289</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25">
      <c r="A46" s="118">
        <f t="shared" si="5"/>
        <v>38</v>
      </c>
      <c r="B46" s="34"/>
      <c r="C46" s="34" t="s">
        <v>0</v>
      </c>
      <c r="D46" s="34"/>
      <c r="E46" s="33">
        <f>SUM(E42:E45)</f>
        <v>8761977</v>
      </c>
      <c r="F46" s="72"/>
      <c r="G46" s="33">
        <f t="shared" ref="G46:K46" si="67">SUM(G42:G45)</f>
        <v>0</v>
      </c>
      <c r="H46" s="33">
        <f t="shared" si="67"/>
        <v>0</v>
      </c>
      <c r="I46" s="33">
        <f t="shared" si="67"/>
        <v>0</v>
      </c>
      <c r="J46" s="33">
        <f t="shared" si="67"/>
        <v>0</v>
      </c>
      <c r="K46" s="33">
        <f t="shared" si="67"/>
        <v>8761977</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8761977</v>
      </c>
      <c r="Y46" s="33">
        <f t="shared" ref="Y46:AA46" si="69">SUM(Y42:Y45)</f>
        <v>0</v>
      </c>
      <c r="Z46" s="33">
        <f t="shared" si="69"/>
        <v>0</v>
      </c>
      <c r="AA46" s="33">
        <f t="shared" si="69"/>
        <v>8761977</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8761977</v>
      </c>
      <c r="AO46" s="33">
        <f t="shared" ref="AO46" si="71">SUM(AO42:AO45)</f>
        <v>0</v>
      </c>
      <c r="AP46" s="33">
        <f t="shared" ref="AP46" si="72">SUM(AP42:AP45)</f>
        <v>0</v>
      </c>
      <c r="AQ46" s="33">
        <f t="shared" ref="AQ46" si="73">SUM(AQ42:AQ45)</f>
        <v>8761977</v>
      </c>
      <c r="AR46" s="72">
        <f t="shared" si="66"/>
        <v>0</v>
      </c>
    </row>
    <row r="47" spans="1:44" x14ac:dyDescent="0.25">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25">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5.75" thickBot="1" x14ac:dyDescent="0.3">
      <c r="A49" s="118">
        <f t="shared" si="5"/>
        <v>41</v>
      </c>
      <c r="B49" s="34" t="s">
        <v>391</v>
      </c>
      <c r="C49" s="37"/>
      <c r="D49" s="34"/>
      <c r="E49" s="62">
        <f>+E38+E46</f>
        <v>219259815</v>
      </c>
      <c r="F49" s="29"/>
      <c r="G49" s="62">
        <f t="shared" ref="G49:K49" si="74">+G38+G46</f>
        <v>0</v>
      </c>
      <c r="H49" s="62">
        <f t="shared" si="74"/>
        <v>0</v>
      </c>
      <c r="I49" s="62">
        <f t="shared" si="74"/>
        <v>0</v>
      </c>
      <c r="J49" s="62">
        <f t="shared" si="74"/>
        <v>0</v>
      </c>
      <c r="K49" s="62">
        <f t="shared" si="74"/>
        <v>219259815</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219259815</v>
      </c>
      <c r="Y49" s="62">
        <f t="shared" ref="Y49:AA49" si="76">+Y38+Y46</f>
        <v>0</v>
      </c>
      <c r="Z49" s="62">
        <f t="shared" si="76"/>
        <v>0</v>
      </c>
      <c r="AA49" s="62">
        <f t="shared" si="76"/>
        <v>219259815</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219259815</v>
      </c>
      <c r="AO49" s="62">
        <f t="shared" ref="AO49:AQ49" si="78">+AO38+AO46</f>
        <v>0</v>
      </c>
      <c r="AP49" s="62">
        <f t="shared" si="78"/>
        <v>0</v>
      </c>
      <c r="AQ49" s="62">
        <f t="shared" si="78"/>
        <v>219259815</v>
      </c>
      <c r="AR49" s="72">
        <f>$E49-AQ49</f>
        <v>0</v>
      </c>
    </row>
    <row r="50" spans="1:44" ht="15.75" thickTop="1" x14ac:dyDescent="0.25">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25">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25">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25">
      <c r="A53" s="118">
        <f t="shared" si="5"/>
        <v>45</v>
      </c>
      <c r="B53" s="57">
        <v>555</v>
      </c>
      <c r="C53" s="34" t="s">
        <v>43</v>
      </c>
      <c r="D53" s="34" t="s">
        <v>44</v>
      </c>
      <c r="E53" s="25">
        <v>335008569</v>
      </c>
      <c r="F53" s="8">
        <v>101</v>
      </c>
      <c r="G53" s="1">
        <f>VLOOKUP($F53,AF!$B$39:$M$80,G$9)*$E53</f>
        <v>0</v>
      </c>
      <c r="H53" s="1">
        <f>VLOOKUP($F53,AF!$B$39:$M$80,H$9)*$E53</f>
        <v>0</v>
      </c>
      <c r="I53" s="1">
        <f>VLOOKUP($F53,AF!$B$39:$M$80,I$9)*$E53</f>
        <v>0</v>
      </c>
      <c r="J53" s="1">
        <f>VLOOKUP($F53,AF!$B$39:$M$80,J$9)*$E53</f>
        <v>0</v>
      </c>
      <c r="K53" s="1">
        <f t="shared" ref="K53:K56" si="79">E53-SUM(G53:J53)</f>
        <v>335008569</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335008569</v>
      </c>
      <c r="Y53" s="1">
        <f t="shared" ref="Y53:Z56" si="81">+O53+Q53+S53+U53</f>
        <v>0</v>
      </c>
      <c r="Z53" s="1">
        <f t="shared" si="81"/>
        <v>0</v>
      </c>
      <c r="AA53" s="1">
        <f t="shared" ref="AA53:AA56" si="82">+Z53+Y53+W53</f>
        <v>335008569</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335008569</v>
      </c>
      <c r="AO53" s="1">
        <f t="shared" ref="AO53:AP56" si="85">+AE53+AG53+AI53+AK53</f>
        <v>0</v>
      </c>
      <c r="AP53" s="1">
        <f t="shared" si="85"/>
        <v>0</v>
      </c>
      <c r="AQ53" s="1">
        <f t="shared" ref="AQ53:AQ56" si="86">+AP53+AO53+AM53</f>
        <v>335008569</v>
      </c>
      <c r="AR53" s="72">
        <f t="shared" ref="AR53:AR57" si="87">$E53-AQ53</f>
        <v>0</v>
      </c>
    </row>
    <row r="54" spans="1:44" x14ac:dyDescent="0.25">
      <c r="A54" s="118">
        <f t="shared" si="5"/>
        <v>46</v>
      </c>
      <c r="B54" s="57">
        <v>556</v>
      </c>
      <c r="C54" s="34" t="s">
        <v>37</v>
      </c>
      <c r="D54" s="34" t="s">
        <v>833</v>
      </c>
      <c r="E54" s="25">
        <f>1837978-E55</f>
        <v>1837978</v>
      </c>
      <c r="F54" s="8">
        <v>102</v>
      </c>
      <c r="G54" s="1">
        <f>VLOOKUP($F54,AF!$B$39:$M$80,G$9)*$E54</f>
        <v>28944.535433070865</v>
      </c>
      <c r="H54" s="1">
        <f>VLOOKUP($F54,AF!$B$39:$M$80,H$9)*$E54</f>
        <v>24120.446194225722</v>
      </c>
      <c r="I54" s="1">
        <f>VLOOKUP($F54,AF!$B$39:$M$80,I$9)*$E54</f>
        <v>77185.427821522302</v>
      </c>
      <c r="J54" s="1">
        <f>VLOOKUP($F54,AF!$B$39:$M$80,J$9)*$E54</f>
        <v>0</v>
      </c>
      <c r="K54" s="1">
        <f t="shared" si="79"/>
        <v>1707727.5905511812</v>
      </c>
      <c r="L54" s="72">
        <f>$E54-SUM(G54:K54)</f>
        <v>0</v>
      </c>
      <c r="N54" s="8">
        <v>204</v>
      </c>
      <c r="O54" s="1">
        <f>VLOOKUP($N54,AF!$B$39:$M$80,O$9)*$G54</f>
        <v>4824.0892388451439</v>
      </c>
      <c r="P54" s="1">
        <f>VLOOKUP($N54,AF!$B$39:$M$80,P$9)*$G54</f>
        <v>24120.446194225722</v>
      </c>
      <c r="Q54" s="1">
        <f>VLOOKUP($N54,AF!$B$39:$M$80,Q$9)*$H54</f>
        <v>24120.446194225722</v>
      </c>
      <c r="R54" s="1">
        <f>VLOOKUP($N54,AF!$B$39:$M$80,R$9)*$H54</f>
        <v>0</v>
      </c>
      <c r="S54" s="1">
        <f>VLOOKUP($N54,AF!$B$39:$M$80,S$9)*$I54</f>
        <v>77185.427821522302</v>
      </c>
      <c r="T54" s="1">
        <f>VLOOKUP($N54,AF!$B$39:$M$80,T$9)*$I54</f>
        <v>0</v>
      </c>
      <c r="U54" s="1">
        <f>VLOOKUP($N54,AF!$B$39:$M$80,U$9)*$J54</f>
        <v>0</v>
      </c>
      <c r="V54" s="1">
        <f>VLOOKUP($N54,AF!$B$39:$M$80,V$9)*$J54</f>
        <v>0</v>
      </c>
      <c r="W54" s="1">
        <f t="shared" si="80"/>
        <v>1707727.5905511812</v>
      </c>
      <c r="Y54" s="1">
        <f t="shared" si="81"/>
        <v>106129.96325459317</v>
      </c>
      <c r="Z54" s="1">
        <f t="shared" si="81"/>
        <v>24120.446194225722</v>
      </c>
      <c r="AA54" s="1">
        <f t="shared" si="82"/>
        <v>1837978</v>
      </c>
      <c r="AB54" s="72">
        <f t="shared" si="83"/>
        <v>0</v>
      </c>
      <c r="AD54" s="72">
        <v>305</v>
      </c>
      <c r="AE54" s="1">
        <f ca="1">VLOOKUP($AD54,AF!$B$39:$M$80,AE$9)*$O54</f>
        <v>3774.5909470665688</v>
      </c>
      <c r="AF54" s="1">
        <f ca="1">VLOOKUP($AD54,AF!$B$39:$M$80,AF$9)*$P54</f>
        <v>6661.2968952731007</v>
      </c>
      <c r="AG54" s="1">
        <f ca="1">VLOOKUP($AD54,AF!$B$39:$M$80,AG$9)*$Q54</f>
        <v>14731.294149106918</v>
      </c>
      <c r="AH54" s="1">
        <f ca="1">VLOOKUP($AD54,AF!$B$39:$M$80,AH$9)*$R54</f>
        <v>0</v>
      </c>
      <c r="AI54" s="1">
        <f ca="1">VLOOKUP($AD54,AF!$B$39:$M$80,AI$9)*$S54</f>
        <v>22599.309425357998</v>
      </c>
      <c r="AJ54" s="1">
        <f ca="1">VLOOKUP($AD54,AF!$B$39:$M$80,AJ$9)*$T54</f>
        <v>0</v>
      </c>
      <c r="AK54" s="1">
        <f ca="1">VLOOKUP($AD54,AF!$B$39:$M$80,AK$9)*$U54</f>
        <v>0</v>
      </c>
      <c r="AL54" s="1">
        <f ca="1">VLOOKUP($AD54,AF!$B$39:$M$80,AL$9)*$V54</f>
        <v>0</v>
      </c>
      <c r="AM54" s="1">
        <f t="shared" ca="1" si="84"/>
        <v>1790211.5085831955</v>
      </c>
      <c r="AO54" s="1">
        <f t="shared" ca="1" si="85"/>
        <v>41105.194521531484</v>
      </c>
      <c r="AP54" s="1">
        <f t="shared" ca="1" si="85"/>
        <v>6661.2968952731007</v>
      </c>
      <c r="AQ54" s="1">
        <f t="shared" ca="1" si="86"/>
        <v>1837978</v>
      </c>
      <c r="AR54" s="72">
        <f t="shared" ca="1" si="87"/>
        <v>0</v>
      </c>
    </row>
    <row r="55" spans="1:44" x14ac:dyDescent="0.25">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25">
      <c r="A56" s="118">
        <f t="shared" si="5"/>
        <v>48</v>
      </c>
      <c r="B56" s="57">
        <v>557</v>
      </c>
      <c r="C56" s="34" t="s">
        <v>143</v>
      </c>
      <c r="D56" s="34" t="s">
        <v>50</v>
      </c>
      <c r="E56" s="26">
        <v>2009158</v>
      </c>
      <c r="F56" s="8">
        <v>101</v>
      </c>
      <c r="G56" s="133">
        <f>VLOOKUP($F56,AF!$B$39:$M$80,G$9)*$E56</f>
        <v>0</v>
      </c>
      <c r="H56" s="133">
        <f>VLOOKUP($F56,AF!$B$39:$M$80,H$9)*$E56</f>
        <v>0</v>
      </c>
      <c r="I56" s="133">
        <f>VLOOKUP($F56,AF!$B$39:$M$80,I$9)*$E56</f>
        <v>0</v>
      </c>
      <c r="J56" s="133">
        <f>VLOOKUP($F56,AF!$B$39:$M$80,J$9)*$E56</f>
        <v>0</v>
      </c>
      <c r="K56" s="133">
        <f t="shared" si="79"/>
        <v>2009158</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2009158</v>
      </c>
      <c r="Y56" s="133">
        <f t="shared" si="81"/>
        <v>0</v>
      </c>
      <c r="Z56" s="133">
        <f t="shared" si="81"/>
        <v>0</v>
      </c>
      <c r="AA56" s="133">
        <f t="shared" si="82"/>
        <v>2009158</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2009158</v>
      </c>
      <c r="AO56" s="133">
        <f t="shared" si="85"/>
        <v>0</v>
      </c>
      <c r="AP56" s="133">
        <f t="shared" si="85"/>
        <v>0</v>
      </c>
      <c r="AQ56" s="133">
        <f t="shared" si="86"/>
        <v>2009158</v>
      </c>
      <c r="AR56" s="72">
        <f t="shared" si="87"/>
        <v>0</v>
      </c>
    </row>
    <row r="57" spans="1:44" x14ac:dyDescent="0.25">
      <c r="A57" s="118">
        <f t="shared" si="5"/>
        <v>49</v>
      </c>
      <c r="B57" s="34"/>
      <c r="C57" s="34" t="s">
        <v>0</v>
      </c>
      <c r="D57" s="34"/>
      <c r="E57" s="1">
        <f>SUM(E53:E56)</f>
        <v>338855705</v>
      </c>
      <c r="F57" s="8"/>
      <c r="G57" s="1">
        <f t="shared" ref="G57:K57" si="88">SUM(G53:G56)</f>
        <v>28944.535433070865</v>
      </c>
      <c r="H57" s="1">
        <f t="shared" si="88"/>
        <v>24120.446194225722</v>
      </c>
      <c r="I57" s="1">
        <f t="shared" si="88"/>
        <v>77185.427821522302</v>
      </c>
      <c r="J57" s="1">
        <f t="shared" si="88"/>
        <v>0</v>
      </c>
      <c r="K57" s="1">
        <f t="shared" si="88"/>
        <v>338725454.5905512</v>
      </c>
      <c r="L57" s="72">
        <f>$E57-SUM(G57:K57)</f>
        <v>0</v>
      </c>
      <c r="N57" s="8"/>
      <c r="O57" s="1">
        <f t="shared" ref="O57:W57" si="89">SUM(O53:O56)</f>
        <v>4824.0892388451439</v>
      </c>
      <c r="P57" s="1">
        <f t="shared" si="89"/>
        <v>24120.446194225722</v>
      </c>
      <c r="Q57" s="1">
        <f t="shared" si="89"/>
        <v>24120.446194225722</v>
      </c>
      <c r="R57" s="1">
        <f t="shared" si="89"/>
        <v>0</v>
      </c>
      <c r="S57" s="1">
        <f t="shared" si="89"/>
        <v>77185.427821522302</v>
      </c>
      <c r="T57" s="1">
        <f t="shared" si="89"/>
        <v>0</v>
      </c>
      <c r="U57" s="1">
        <f t="shared" si="89"/>
        <v>0</v>
      </c>
      <c r="V57" s="1">
        <f t="shared" si="89"/>
        <v>0</v>
      </c>
      <c r="W57" s="1">
        <f t="shared" si="89"/>
        <v>338725454.5905512</v>
      </c>
      <c r="Y57" s="1">
        <f t="shared" ref="Y57:AA57" si="90">SUM(Y53:Y56)</f>
        <v>106129.96325459317</v>
      </c>
      <c r="Z57" s="1">
        <f t="shared" si="90"/>
        <v>24120.446194225722</v>
      </c>
      <c r="AA57" s="1">
        <f t="shared" si="90"/>
        <v>338855705</v>
      </c>
      <c r="AB57" s="72">
        <f t="shared" si="83"/>
        <v>0</v>
      </c>
      <c r="AD57" s="8"/>
      <c r="AE57" s="1">
        <f t="shared" ref="AE57:AM57" ca="1" si="91">SUM(AE53:AE56)</f>
        <v>3774.5909470665688</v>
      </c>
      <c r="AF57" s="1">
        <f t="shared" ca="1" si="91"/>
        <v>6661.2968952731007</v>
      </c>
      <c r="AG57" s="1">
        <f t="shared" ca="1" si="91"/>
        <v>14731.294149106918</v>
      </c>
      <c r="AH57" s="1">
        <f t="shared" ca="1" si="91"/>
        <v>0</v>
      </c>
      <c r="AI57" s="1">
        <f t="shared" ca="1" si="91"/>
        <v>22599.309425357998</v>
      </c>
      <c r="AJ57" s="1">
        <f t="shared" ca="1" si="91"/>
        <v>0</v>
      </c>
      <c r="AK57" s="1">
        <f t="shared" ca="1" si="91"/>
        <v>0</v>
      </c>
      <c r="AL57" s="1">
        <f t="shared" ca="1" si="91"/>
        <v>0</v>
      </c>
      <c r="AM57" s="1">
        <f t="shared" ca="1" si="91"/>
        <v>338807938.50858319</v>
      </c>
      <c r="AO57" s="1">
        <f t="shared" ref="AO57:AQ57" ca="1" si="92">SUM(AO53:AO56)</f>
        <v>41105.194521531484</v>
      </c>
      <c r="AP57" s="1">
        <f t="shared" ca="1" si="92"/>
        <v>6661.2968952731007</v>
      </c>
      <c r="AQ57" s="1">
        <f t="shared" ca="1" si="92"/>
        <v>338855705</v>
      </c>
      <c r="AR57" s="72">
        <f t="shared" ca="1" si="87"/>
        <v>0</v>
      </c>
    </row>
    <row r="58" spans="1:44" x14ac:dyDescent="0.25">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25">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25">
      <c r="A60" s="118">
        <f t="shared" si="5"/>
        <v>52</v>
      </c>
      <c r="B60" s="35" t="s">
        <v>404</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25">
      <c r="A61" s="118">
        <f t="shared" si="5"/>
        <v>53</v>
      </c>
      <c r="B61" s="57">
        <v>560</v>
      </c>
      <c r="C61" s="34" t="s">
        <v>364</v>
      </c>
      <c r="D61" s="34" t="s">
        <v>47</v>
      </c>
      <c r="E61" s="25">
        <v>422690</v>
      </c>
      <c r="F61" s="74">
        <v>102</v>
      </c>
      <c r="G61" s="1">
        <f>VLOOKUP($F61,AF!$B$39:$M$80,G$9)*$E61</f>
        <v>6656.535433070866</v>
      </c>
      <c r="H61" s="1">
        <f>VLOOKUP($F61,AF!$B$39:$M$80,H$9)*$E61</f>
        <v>5547.1128608923882</v>
      </c>
      <c r="I61" s="1">
        <f>VLOOKUP($F61,AF!$B$39:$M$80,I$9)*$E61</f>
        <v>17750.761154855642</v>
      </c>
      <c r="J61" s="1">
        <f>VLOOKUP($F61,AF!$B$39:$M$80,J$9)*$E61</f>
        <v>0</v>
      </c>
      <c r="K61" s="1">
        <f t="shared" ref="K61:K89" si="93">E61-SUM(G61:J61)</f>
        <v>392735.59055118111</v>
      </c>
      <c r="L61" s="72">
        <f t="shared" ref="L61:L91" si="94">$E61-SUM(G61:K61)</f>
        <v>0</v>
      </c>
      <c r="N61" s="8">
        <v>204</v>
      </c>
      <c r="O61" s="1">
        <f>VLOOKUP($N61,AF!$B$39:$M$80,O$9)*$G61</f>
        <v>1109.4225721784776</v>
      </c>
      <c r="P61" s="1">
        <f>VLOOKUP($N61,AF!$B$39:$M$80,P$9)*$G61</f>
        <v>5547.1128608923882</v>
      </c>
      <c r="Q61" s="1">
        <f>VLOOKUP($N61,AF!$B$39:$M$80,Q$9)*$H61</f>
        <v>5547.1128608923882</v>
      </c>
      <c r="R61" s="1">
        <f>VLOOKUP($N61,AF!$B$39:$M$80,R$9)*$H61</f>
        <v>0</v>
      </c>
      <c r="S61" s="1">
        <f>VLOOKUP($N61,AF!$B$39:$M$80,S$9)*$I61</f>
        <v>17750.761154855642</v>
      </c>
      <c r="T61" s="1">
        <f>VLOOKUP($N61,AF!$B$39:$M$80,T$9)*$I61</f>
        <v>0</v>
      </c>
      <c r="U61" s="1">
        <f>VLOOKUP($N61,AF!$B$39:$M$80,U$9)*$J61</f>
        <v>0</v>
      </c>
      <c r="V61" s="1">
        <f>VLOOKUP($N61,AF!$B$39:$M$80,V$9)*$J61</f>
        <v>0</v>
      </c>
      <c r="W61" s="1">
        <f t="shared" ref="W61:W90" si="95">E61-SUM(O61:V61)</f>
        <v>392735.59055118111</v>
      </c>
      <c r="Y61" s="1">
        <f t="shared" ref="Y61:Y90" si="96">+O61+Q61+S61+U61</f>
        <v>24407.296587926507</v>
      </c>
      <c r="Z61" s="1">
        <f t="shared" ref="Z61:Z90" si="97">+P61+R61+T61+V61</f>
        <v>5547.1128608923882</v>
      </c>
      <c r="AA61" s="1">
        <f t="shared" ref="AA61:AA90" si="98">+Z61+Y61+W61</f>
        <v>422690</v>
      </c>
      <c r="AB61" s="72">
        <f t="shared" ref="AB61:AB91" si="99">$E61-AA61</f>
        <v>0</v>
      </c>
      <c r="AD61" s="72">
        <v>300</v>
      </c>
      <c r="AE61" s="1">
        <f>VLOOKUP($AD61,AF!$B$39:$M$80,AE$9)*$O61</f>
        <v>1109.4225721784776</v>
      </c>
      <c r="AF61" s="1">
        <f>VLOOKUP($AD61,AF!$B$39:$M$80,AF$9)*$P61</f>
        <v>5547.1128608923882</v>
      </c>
      <c r="AG61" s="1">
        <f>VLOOKUP($AD61,AF!$B$39:$M$80,AG$9)*$Q61</f>
        <v>5547.1128608923882</v>
      </c>
      <c r="AH61" s="1">
        <f>VLOOKUP($AD61,AF!$B$39:$M$80,AH$9)*$R61</f>
        <v>0</v>
      </c>
      <c r="AI61" s="1">
        <f>VLOOKUP($AD61,AF!$B$39:$M$80,AI$9)*$S61</f>
        <v>17750.761154855642</v>
      </c>
      <c r="AJ61" s="1">
        <f>VLOOKUP($AD61,AF!$B$39:$M$80,AJ$9)*$T61</f>
        <v>0</v>
      </c>
      <c r="AK61" s="1">
        <f>VLOOKUP($AD61,AF!$B$39:$M$80,AK$9)*$U61</f>
        <v>0</v>
      </c>
      <c r="AL61" s="1">
        <f>VLOOKUP($AD61,AF!$B$39:$M$80,AL$9)*$V61</f>
        <v>0</v>
      </c>
      <c r="AM61" s="1">
        <f t="shared" ref="AM61:AM90" si="100">E61-SUM(AE61:AL61)</f>
        <v>392735.59055118111</v>
      </c>
      <c r="AO61" s="1">
        <f t="shared" ref="AO61:AO90" si="101">+AE61+AG61+AI61+AK61</f>
        <v>24407.296587926507</v>
      </c>
      <c r="AP61" s="1">
        <f t="shared" ref="AP61:AP90" si="102">+AF61+AH61+AJ61+AL61</f>
        <v>5547.1128608923882</v>
      </c>
      <c r="AQ61" s="1">
        <f t="shared" ref="AQ61:AQ90" si="103">+AP61+AO61+AM61</f>
        <v>422690</v>
      </c>
      <c r="AR61" s="72">
        <f t="shared" ref="AR61:AR91" si="104">$E61-AQ61</f>
        <v>0</v>
      </c>
    </row>
    <row r="62" spans="1:44" x14ac:dyDescent="0.25">
      <c r="A62" s="118">
        <f t="shared" si="5"/>
        <v>54</v>
      </c>
      <c r="B62" s="57" t="s">
        <v>576</v>
      </c>
      <c r="C62" s="57" t="s">
        <v>577</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25">
      <c r="A63" s="118">
        <f t="shared" si="5"/>
        <v>55</v>
      </c>
      <c r="B63" s="57">
        <v>561.1</v>
      </c>
      <c r="C63" s="34" t="s">
        <v>365</v>
      </c>
      <c r="D63" s="34" t="s">
        <v>373</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25">
      <c r="A64" s="118">
        <f t="shared" si="5"/>
        <v>56</v>
      </c>
      <c r="B64" s="57" t="s">
        <v>578</v>
      </c>
      <c r="C64" s="57" t="s">
        <v>579</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25">
      <c r="A65" s="118">
        <f t="shared" si="5"/>
        <v>57</v>
      </c>
      <c r="B65" s="57">
        <v>561.20000000000005</v>
      </c>
      <c r="C65" s="34" t="s">
        <v>366</v>
      </c>
      <c r="D65" s="34" t="s">
        <v>374</v>
      </c>
      <c r="E65" s="25">
        <f>966576-E66</f>
        <v>3.0000000027939677E-2</v>
      </c>
      <c r="F65" s="8">
        <v>102</v>
      </c>
      <c r="G65" s="1">
        <f>VLOOKUP($F65,AF!$B$39:$M$80,G$9)*$E65</f>
        <v>4.7244094532188465E-4</v>
      </c>
      <c r="H65" s="1">
        <f>VLOOKUP($F65,AF!$B$39:$M$80,H$9)*$E65</f>
        <v>3.9370078776823723E-4</v>
      </c>
      <c r="I65" s="1">
        <f>VLOOKUP($F65,AF!$B$39:$M$80,I$9)*$E65</f>
        <v>1.2598425208583592E-3</v>
      </c>
      <c r="J65" s="1">
        <f>VLOOKUP($F65,AF!$B$39:$M$80,J$9)*$E65</f>
        <v>0</v>
      </c>
      <c r="K65" s="1">
        <f t="shared" si="93"/>
        <v>2.7874015773991196E-2</v>
      </c>
      <c r="L65" s="72">
        <f t="shared" si="94"/>
        <v>0</v>
      </c>
      <c r="N65" s="8">
        <v>204</v>
      </c>
      <c r="O65" s="1">
        <f>VLOOKUP($N65,AF!$B$39:$M$80,O$9)*$G65</f>
        <v>7.8740157553647437E-5</v>
      </c>
      <c r="P65" s="1">
        <f>VLOOKUP($N65,AF!$B$39:$M$80,P$9)*$G65</f>
        <v>3.9370078776823723E-4</v>
      </c>
      <c r="Q65" s="1">
        <f>VLOOKUP($N65,AF!$B$39:$M$80,Q$9)*$H65</f>
        <v>3.9370078776823723E-4</v>
      </c>
      <c r="R65" s="1">
        <f>VLOOKUP($N65,AF!$B$39:$M$80,R$9)*$H65</f>
        <v>0</v>
      </c>
      <c r="S65" s="1">
        <f>VLOOKUP($N65,AF!$B$39:$M$80,S$9)*$I65</f>
        <v>1.2598425208583592E-3</v>
      </c>
      <c r="T65" s="1">
        <f>VLOOKUP($N65,AF!$B$39:$M$80,T$9)*$I65</f>
        <v>0</v>
      </c>
      <c r="U65" s="1">
        <f>VLOOKUP($N65,AF!$B$39:$M$80,U$9)*$J65</f>
        <v>0</v>
      </c>
      <c r="V65" s="1">
        <f>VLOOKUP($N65,AF!$B$39:$M$80,V$9)*$J65</f>
        <v>0</v>
      </c>
      <c r="W65" s="1">
        <f t="shared" si="95"/>
        <v>2.7874015773991196E-2</v>
      </c>
      <c r="Y65" s="1">
        <f t="shared" si="96"/>
        <v>1.732283466180244E-3</v>
      </c>
      <c r="Z65" s="1">
        <f t="shared" si="97"/>
        <v>3.9370078776823723E-4</v>
      </c>
      <c r="AA65" s="1">
        <f t="shared" si="98"/>
        <v>3.0000000027939677E-2</v>
      </c>
      <c r="AB65" s="72">
        <f t="shared" si="99"/>
        <v>0</v>
      </c>
      <c r="AD65" s="72">
        <v>300</v>
      </c>
      <c r="AE65" s="1">
        <f>VLOOKUP($AD65,AF!$B$39:$M$80,AE$9)*$O65</f>
        <v>7.8740157553647437E-5</v>
      </c>
      <c r="AF65" s="1">
        <f>VLOOKUP($AD65,AF!$B$39:$M$80,AF$9)*$P65</f>
        <v>3.9370078776823723E-4</v>
      </c>
      <c r="AG65" s="1">
        <f>VLOOKUP($AD65,AF!$B$39:$M$80,AG$9)*$Q65</f>
        <v>3.9370078776823723E-4</v>
      </c>
      <c r="AH65" s="1">
        <f>VLOOKUP($AD65,AF!$B$39:$M$80,AH$9)*$R65</f>
        <v>0</v>
      </c>
      <c r="AI65" s="1">
        <f>VLOOKUP($AD65,AF!$B$39:$M$80,AI$9)*$S65</f>
        <v>1.2598425208583592E-3</v>
      </c>
      <c r="AJ65" s="1">
        <f>VLOOKUP($AD65,AF!$B$39:$M$80,AJ$9)*$T65</f>
        <v>0</v>
      </c>
      <c r="AK65" s="1">
        <f>VLOOKUP($AD65,AF!$B$39:$M$80,AK$9)*$U65</f>
        <v>0</v>
      </c>
      <c r="AL65" s="1">
        <f>VLOOKUP($AD65,AF!$B$39:$M$80,AL$9)*$V65</f>
        <v>0</v>
      </c>
      <c r="AM65" s="1">
        <f t="shared" si="100"/>
        <v>2.7874015773991196E-2</v>
      </c>
      <c r="AO65" s="1">
        <f t="shared" si="101"/>
        <v>1.732283466180244E-3</v>
      </c>
      <c r="AP65" s="1">
        <f t="shared" si="102"/>
        <v>3.9370078776823723E-4</v>
      </c>
      <c r="AQ65" s="1">
        <f t="shared" si="103"/>
        <v>3.0000000027939677E-2</v>
      </c>
      <c r="AR65" s="72">
        <f t="shared" si="104"/>
        <v>0</v>
      </c>
    </row>
    <row r="66" spans="1:44" x14ac:dyDescent="0.25">
      <c r="A66" s="118">
        <f t="shared" si="5"/>
        <v>58</v>
      </c>
      <c r="B66" s="57" t="s">
        <v>580</v>
      </c>
      <c r="C66" s="57" t="s">
        <v>581</v>
      </c>
      <c r="D66" s="34"/>
      <c r="E66" s="17">
        <f>SUM(G66:K66)</f>
        <v>966575.97</v>
      </c>
      <c r="F66" s="8">
        <v>100</v>
      </c>
      <c r="G66" s="25">
        <v>0</v>
      </c>
      <c r="H66" s="25">
        <v>0</v>
      </c>
      <c r="I66" s="25">
        <v>47053.97</v>
      </c>
      <c r="J66" s="25">
        <v>0</v>
      </c>
      <c r="K66" s="25">
        <v>919522</v>
      </c>
      <c r="L66" s="72">
        <f t="shared" si="94"/>
        <v>0</v>
      </c>
      <c r="N66" s="8">
        <v>202</v>
      </c>
      <c r="O66" s="1">
        <f>VLOOKUP($N66,AF!$B$39:$M$80,O$9)*$G66</f>
        <v>0</v>
      </c>
      <c r="P66" s="1">
        <f>VLOOKUP($N66,AF!$B$39:$M$80,P$9)*$G66</f>
        <v>0</v>
      </c>
      <c r="Q66" s="1">
        <f>VLOOKUP($N66,AF!$B$39:$M$80,Q$9)*$H66</f>
        <v>0</v>
      </c>
      <c r="R66" s="1">
        <f>VLOOKUP($N66,AF!$B$39:$M$80,R$9)*$H66</f>
        <v>0</v>
      </c>
      <c r="S66" s="1">
        <f>VLOOKUP($N66,AF!$B$39:$M$80,S$9)*$I66</f>
        <v>47053.97</v>
      </c>
      <c r="T66" s="1">
        <f>VLOOKUP($N66,AF!$B$39:$M$80,T$9)*$I66</f>
        <v>0</v>
      </c>
      <c r="U66" s="1">
        <f>VLOOKUP($N66,AF!$B$39:$M$80,U$9)*$J66</f>
        <v>0</v>
      </c>
      <c r="V66" s="1">
        <f>VLOOKUP($N66,AF!$B$39:$M$80,V$9)*$J66</f>
        <v>0</v>
      </c>
      <c r="W66" s="1">
        <f t="shared" si="95"/>
        <v>919522</v>
      </c>
      <c r="Y66" s="1">
        <f t="shared" si="96"/>
        <v>47053.97</v>
      </c>
      <c r="Z66" s="1">
        <f t="shared" si="97"/>
        <v>0</v>
      </c>
      <c r="AA66" s="1">
        <f t="shared" si="98"/>
        <v>966575.97</v>
      </c>
      <c r="AB66" s="72">
        <f t="shared" si="99"/>
        <v>0</v>
      </c>
      <c r="AD66" s="72">
        <v>300</v>
      </c>
      <c r="AE66" s="1">
        <f>VLOOKUP($AD66,AF!$B$39:$M$80,AE$9)*$O66</f>
        <v>0</v>
      </c>
      <c r="AF66" s="1">
        <f>VLOOKUP($AD66,AF!$B$39:$M$80,AF$9)*$P66</f>
        <v>0</v>
      </c>
      <c r="AG66" s="1">
        <f>VLOOKUP($AD66,AF!$B$39:$M$80,AG$9)*$Q66</f>
        <v>0</v>
      </c>
      <c r="AH66" s="1">
        <f>VLOOKUP($AD66,AF!$B$39:$M$80,AH$9)*$R66</f>
        <v>0</v>
      </c>
      <c r="AI66" s="1">
        <f>VLOOKUP($AD66,AF!$B$39:$M$80,AI$9)*$S66</f>
        <v>47053.97</v>
      </c>
      <c r="AJ66" s="1">
        <f>VLOOKUP($AD66,AF!$B$39:$M$80,AJ$9)*$T66</f>
        <v>0</v>
      </c>
      <c r="AK66" s="1">
        <f>VLOOKUP($AD66,AF!$B$39:$M$80,AK$9)*$U66</f>
        <v>0</v>
      </c>
      <c r="AL66" s="1">
        <f>VLOOKUP($AD66,AF!$B$39:$M$80,AL$9)*$V66</f>
        <v>0</v>
      </c>
      <c r="AM66" s="1">
        <f t="shared" si="100"/>
        <v>919522</v>
      </c>
      <c r="AO66" s="1">
        <f t="shared" si="101"/>
        <v>47053.97</v>
      </c>
      <c r="AP66" s="1">
        <f t="shared" si="102"/>
        <v>0</v>
      </c>
      <c r="AQ66" s="1">
        <f t="shared" si="103"/>
        <v>966575.97</v>
      </c>
      <c r="AR66" s="72">
        <f t="shared" si="104"/>
        <v>0</v>
      </c>
    </row>
    <row r="67" spans="1:44" x14ac:dyDescent="0.25">
      <c r="A67" s="118">
        <f t="shared" si="5"/>
        <v>59</v>
      </c>
      <c r="B67" s="57">
        <v>561.29999999999995</v>
      </c>
      <c r="C67" s="34" t="s">
        <v>367</v>
      </c>
      <c r="D67" s="34" t="s">
        <v>375</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25">
      <c r="A68" s="118">
        <f t="shared" si="5"/>
        <v>60</v>
      </c>
      <c r="B68" s="57" t="s">
        <v>582</v>
      </c>
      <c r="C68" s="57" t="s">
        <v>583</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25">
      <c r="A69" s="118">
        <f t="shared" si="5"/>
        <v>61</v>
      </c>
      <c r="B69" s="57">
        <v>561.4</v>
      </c>
      <c r="C69" s="34" t="s">
        <v>368</v>
      </c>
      <c r="D69" s="34" t="s">
        <v>376</v>
      </c>
      <c r="E69" s="25">
        <f>60099-E70</f>
        <v>60099</v>
      </c>
      <c r="F69" s="8">
        <v>101</v>
      </c>
      <c r="G69" s="1">
        <f>VLOOKUP($F69,AF!$B$39:$M$80,G$9)*$E69</f>
        <v>0</v>
      </c>
      <c r="H69" s="1">
        <f>VLOOKUP($F69,AF!$B$39:$M$80,H$9)*$E69</f>
        <v>0</v>
      </c>
      <c r="I69" s="1">
        <f>VLOOKUP($F69,AF!$B$39:$M$80,I$9)*$E69</f>
        <v>0</v>
      </c>
      <c r="J69" s="1">
        <f>VLOOKUP($F69,AF!$B$39:$M$80,J$9)*$E69</f>
        <v>0</v>
      </c>
      <c r="K69" s="1">
        <f t="shared" si="93"/>
        <v>60099</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60099</v>
      </c>
      <c r="Y69" s="1">
        <f t="shared" si="96"/>
        <v>0</v>
      </c>
      <c r="Z69" s="1">
        <f t="shared" si="97"/>
        <v>0</v>
      </c>
      <c r="AA69" s="1">
        <f t="shared" si="98"/>
        <v>60099</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60099</v>
      </c>
      <c r="AO69" s="1">
        <f t="shared" si="101"/>
        <v>0</v>
      </c>
      <c r="AP69" s="1">
        <f t="shared" si="102"/>
        <v>0</v>
      </c>
      <c r="AQ69" s="1">
        <f t="shared" si="103"/>
        <v>60099</v>
      </c>
      <c r="AR69" s="72">
        <f t="shared" si="104"/>
        <v>0</v>
      </c>
    </row>
    <row r="70" spans="1:44" x14ac:dyDescent="0.25">
      <c r="A70" s="118">
        <f t="shared" si="5"/>
        <v>62</v>
      </c>
      <c r="B70" s="57" t="s">
        <v>584</v>
      </c>
      <c r="C70" s="57" t="s">
        <v>585</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25">
      <c r="A71" s="118">
        <f t="shared" si="5"/>
        <v>63</v>
      </c>
      <c r="B71" s="57">
        <v>561.5</v>
      </c>
      <c r="C71" s="34" t="s">
        <v>369</v>
      </c>
      <c r="D71" s="34" t="s">
        <v>377</v>
      </c>
      <c r="E71" s="25">
        <f>0-E72</f>
        <v>0</v>
      </c>
      <c r="F71" s="8">
        <v>101</v>
      </c>
      <c r="G71" s="1">
        <f>VLOOKUP($F71,AF!$B$39:$M$80,G$9)*$E71</f>
        <v>0</v>
      </c>
      <c r="H71" s="1">
        <f>VLOOKUP($F71,AF!$B$39:$M$80,H$9)*$E71</f>
        <v>0</v>
      </c>
      <c r="I71" s="1">
        <f>VLOOKUP($F71,AF!$B$39:$M$80,I$9)*$E71</f>
        <v>0</v>
      </c>
      <c r="J71" s="1">
        <f>VLOOKUP($F71,AF!$B$39:$M$80,J$9)*$E71</f>
        <v>0</v>
      </c>
      <c r="K71" s="1">
        <f t="shared" si="93"/>
        <v>0</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72">
        <f t="shared" si="104"/>
        <v>0</v>
      </c>
    </row>
    <row r="72" spans="1:44" x14ac:dyDescent="0.25">
      <c r="A72" s="118">
        <f t="shared" si="5"/>
        <v>64</v>
      </c>
      <c r="B72" s="57" t="s">
        <v>586</v>
      </c>
      <c r="C72" s="57" t="s">
        <v>587</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25">
      <c r="A73" s="118">
        <f t="shared" si="5"/>
        <v>65</v>
      </c>
      <c r="B73" s="57">
        <v>561.6</v>
      </c>
      <c r="C73" s="34" t="s">
        <v>370</v>
      </c>
      <c r="D73" s="34" t="s">
        <v>378</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25">
      <c r="A74" s="118">
        <f t="shared" si="5"/>
        <v>66</v>
      </c>
      <c r="B74" s="57" t="s">
        <v>588</v>
      </c>
      <c r="C74" s="57" t="s">
        <v>589</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25">
      <c r="A75" s="118">
        <f t="shared" ref="A75:A138" si="105">+A74+1</f>
        <v>67</v>
      </c>
      <c r="B75" s="57">
        <v>561.70000000000005</v>
      </c>
      <c r="C75" s="34" t="s">
        <v>371</v>
      </c>
      <c r="D75" s="34" t="s">
        <v>379</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25">
      <c r="A76" s="118">
        <f t="shared" si="105"/>
        <v>68</v>
      </c>
      <c r="B76" s="57" t="s">
        <v>590</v>
      </c>
      <c r="C76" s="57" t="s">
        <v>591</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25">
      <c r="A77" s="118">
        <f t="shared" si="105"/>
        <v>69</v>
      </c>
      <c r="B77" s="57">
        <v>561.79999999999995</v>
      </c>
      <c r="C77" s="34" t="s">
        <v>372</v>
      </c>
      <c r="D77" s="34" t="s">
        <v>380</v>
      </c>
      <c r="E77" s="25">
        <v>390808</v>
      </c>
      <c r="F77" s="8">
        <v>101</v>
      </c>
      <c r="G77" s="1">
        <f>VLOOKUP($F77,AF!$B$39:$M$80,G$9)*$E77</f>
        <v>0</v>
      </c>
      <c r="H77" s="1">
        <f>VLOOKUP($F77,AF!$B$39:$M$80,H$9)*$E77</f>
        <v>0</v>
      </c>
      <c r="I77" s="1">
        <f>VLOOKUP($F77,AF!$B$39:$M$80,I$9)*$E77</f>
        <v>0</v>
      </c>
      <c r="J77" s="1">
        <f>VLOOKUP($F77,AF!$B$39:$M$80,J$9)*$E77</f>
        <v>0</v>
      </c>
      <c r="K77" s="1">
        <f t="shared" si="93"/>
        <v>390808</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390808</v>
      </c>
      <c r="Y77" s="1">
        <f t="shared" si="96"/>
        <v>0</v>
      </c>
      <c r="Z77" s="1">
        <f t="shared" si="97"/>
        <v>0</v>
      </c>
      <c r="AA77" s="1">
        <f t="shared" si="98"/>
        <v>390808</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390808</v>
      </c>
      <c r="AO77" s="1">
        <f t="shared" si="101"/>
        <v>0</v>
      </c>
      <c r="AP77" s="1">
        <f t="shared" si="102"/>
        <v>0</v>
      </c>
      <c r="AQ77" s="1">
        <f t="shared" si="103"/>
        <v>390808</v>
      </c>
      <c r="AR77" s="72">
        <f t="shared" si="104"/>
        <v>0</v>
      </c>
    </row>
    <row r="78" spans="1:44" x14ac:dyDescent="0.25">
      <c r="A78" s="118">
        <f t="shared" si="105"/>
        <v>70</v>
      </c>
      <c r="B78" s="57" t="s">
        <v>592</v>
      </c>
      <c r="C78" s="57" t="s">
        <v>593</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25">
      <c r="A79" s="118">
        <f t="shared" si="105"/>
        <v>71</v>
      </c>
      <c r="B79" s="57">
        <v>562</v>
      </c>
      <c r="C79" s="34" t="s">
        <v>575</v>
      </c>
      <c r="D79" s="34" t="s">
        <v>48</v>
      </c>
      <c r="E79" s="25">
        <f>0-E80</f>
        <v>0</v>
      </c>
      <c r="F79" s="8">
        <v>101</v>
      </c>
      <c r="G79" s="1">
        <f>VLOOKUP($F79,AF!$B$39:$M$80,G$9)*$E79</f>
        <v>0</v>
      </c>
      <c r="H79" s="1">
        <f>VLOOKUP($F79,AF!$B$39:$M$80,H$9)*$E79</f>
        <v>0</v>
      </c>
      <c r="I79" s="1">
        <f>VLOOKUP($F79,AF!$B$39:$M$80,I$9)*$E79</f>
        <v>0</v>
      </c>
      <c r="J79" s="1">
        <f>VLOOKUP($F79,AF!$B$39:$M$80,J$9)*$E79</f>
        <v>0</v>
      </c>
      <c r="K79" s="1">
        <f t="shared" si="93"/>
        <v>0</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72">
        <f t="shared" si="104"/>
        <v>0</v>
      </c>
    </row>
    <row r="80" spans="1:44" x14ac:dyDescent="0.25">
      <c r="A80" s="118">
        <f t="shared" si="105"/>
        <v>72</v>
      </c>
      <c r="B80" s="57" t="s">
        <v>594</v>
      </c>
      <c r="C80" s="57" t="s">
        <v>595</v>
      </c>
      <c r="D80" s="34"/>
      <c r="E80" s="17">
        <f>SUM(G80:K80)</f>
        <v>0</v>
      </c>
      <c r="F80" s="8">
        <v>100</v>
      </c>
      <c r="G80" s="25">
        <v>0</v>
      </c>
      <c r="H80" s="25">
        <v>0</v>
      </c>
      <c r="I80" s="25">
        <v>0</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0</v>
      </c>
      <c r="T80" s="1">
        <f>VLOOKUP($N80,AF!$B$39:$M$80,T$9)*$I80</f>
        <v>0</v>
      </c>
      <c r="U80" s="1">
        <f>VLOOKUP($N80,AF!$B$39:$M$80,U$9)*$J80</f>
        <v>0</v>
      </c>
      <c r="V80" s="1">
        <f>VLOOKUP($N80,AF!$B$39:$M$80,V$9)*$J80</f>
        <v>0</v>
      </c>
      <c r="W80" s="1">
        <f t="shared" si="95"/>
        <v>0</v>
      </c>
      <c r="Y80" s="1">
        <f t="shared" si="96"/>
        <v>0</v>
      </c>
      <c r="Z80" s="1">
        <f t="shared" si="97"/>
        <v>0</v>
      </c>
      <c r="AA80" s="1">
        <f t="shared" si="98"/>
        <v>0</v>
      </c>
      <c r="AB80" s="72">
        <f t="shared" si="99"/>
        <v>0</v>
      </c>
      <c r="AD80" s="72">
        <v>300</v>
      </c>
      <c r="AE80" s="1">
        <f>VLOOKUP($AD80,AF!$B$39:$M$80,AE$9)*$O80</f>
        <v>0</v>
      </c>
      <c r="AF80" s="1">
        <f>VLOOKUP($AD80,AF!$B$39:$M$80,AF$9)*$P80</f>
        <v>0</v>
      </c>
      <c r="AG80" s="1">
        <f>VLOOKUP($AD80,AF!$B$39:$M$80,AG$9)*$Q80</f>
        <v>0</v>
      </c>
      <c r="AH80" s="1">
        <f>VLOOKUP($AD80,AF!$B$39:$M$80,AH$9)*$R80</f>
        <v>0</v>
      </c>
      <c r="AI80" s="1">
        <f>VLOOKUP($AD80,AF!$B$39:$M$80,AI$9)*$S80</f>
        <v>0</v>
      </c>
      <c r="AJ80" s="1">
        <f>VLOOKUP($AD80,AF!$B$39:$M$80,AJ$9)*$T80</f>
        <v>0</v>
      </c>
      <c r="AK80" s="1">
        <f>VLOOKUP($AD80,AF!$B$39:$M$80,AK$9)*$U80</f>
        <v>0</v>
      </c>
      <c r="AL80" s="1">
        <f>VLOOKUP($AD80,AF!$B$39:$M$80,AL$9)*$V80</f>
        <v>0</v>
      </c>
      <c r="AM80" s="1">
        <f t="shared" si="100"/>
        <v>0</v>
      </c>
      <c r="AO80" s="1">
        <f t="shared" si="101"/>
        <v>0</v>
      </c>
      <c r="AP80" s="1">
        <f t="shared" si="102"/>
        <v>0</v>
      </c>
      <c r="AQ80" s="1">
        <f t="shared" si="103"/>
        <v>0</v>
      </c>
      <c r="AR80" s="72">
        <f t="shared" si="104"/>
        <v>0</v>
      </c>
    </row>
    <row r="81" spans="1:44" x14ac:dyDescent="0.25">
      <c r="A81" s="118">
        <f t="shared" si="105"/>
        <v>73</v>
      </c>
      <c r="B81" s="57">
        <v>563</v>
      </c>
      <c r="C81" s="34" t="s">
        <v>290</v>
      </c>
      <c r="D81" s="34" t="s">
        <v>291</v>
      </c>
      <c r="E81" s="25">
        <f>625-E82</f>
        <v>0</v>
      </c>
      <c r="F81" s="8">
        <v>101</v>
      </c>
      <c r="G81" s="1">
        <f>VLOOKUP($F81,AF!$B$39:$M$80,G$9)*$E81</f>
        <v>0</v>
      </c>
      <c r="H81" s="1">
        <f>VLOOKUP($F81,AF!$B$39:$M$80,H$9)*$E81</f>
        <v>0</v>
      </c>
      <c r="I81" s="1">
        <f>VLOOKUP($F81,AF!$B$39:$M$80,I$9)*$E81</f>
        <v>0</v>
      </c>
      <c r="J81" s="1">
        <f>VLOOKUP($F81,AF!$B$39:$M$80,J$9)*$E81</f>
        <v>0</v>
      </c>
      <c r="K81" s="1">
        <f t="shared" si="93"/>
        <v>0</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72">
        <f t="shared" si="104"/>
        <v>0</v>
      </c>
    </row>
    <row r="82" spans="1:44" x14ac:dyDescent="0.25">
      <c r="A82" s="118">
        <f t="shared" si="105"/>
        <v>74</v>
      </c>
      <c r="B82" s="57" t="s">
        <v>596</v>
      </c>
      <c r="C82" s="57" t="s">
        <v>597</v>
      </c>
      <c r="D82" s="34"/>
      <c r="E82" s="17">
        <f>SUM(G82:K82)</f>
        <v>625</v>
      </c>
      <c r="F82" s="8">
        <v>100</v>
      </c>
      <c r="G82" s="25">
        <v>0</v>
      </c>
      <c r="H82" s="25">
        <v>0</v>
      </c>
      <c r="I82" s="25">
        <v>0</v>
      </c>
      <c r="J82" s="25">
        <v>0</v>
      </c>
      <c r="K82" s="25">
        <v>625</v>
      </c>
      <c r="L82" s="72">
        <f t="shared" si="94"/>
        <v>0</v>
      </c>
      <c r="N82" s="8">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625</v>
      </c>
      <c r="Y82" s="1">
        <f t="shared" si="96"/>
        <v>0</v>
      </c>
      <c r="Z82" s="1">
        <f t="shared" si="97"/>
        <v>0</v>
      </c>
      <c r="AA82" s="1">
        <f t="shared" si="98"/>
        <v>625</v>
      </c>
      <c r="AB82" s="72">
        <f t="shared" si="99"/>
        <v>0</v>
      </c>
      <c r="AD82" s="72">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625</v>
      </c>
      <c r="AO82" s="1">
        <f t="shared" si="101"/>
        <v>0</v>
      </c>
      <c r="AP82" s="1">
        <f t="shared" si="102"/>
        <v>0</v>
      </c>
      <c r="AQ82" s="1">
        <f t="shared" si="103"/>
        <v>625</v>
      </c>
      <c r="AR82" s="72">
        <f t="shared" si="104"/>
        <v>0</v>
      </c>
    </row>
    <row r="83" spans="1:44" x14ac:dyDescent="0.25">
      <c r="A83" s="118">
        <f t="shared" si="105"/>
        <v>75</v>
      </c>
      <c r="B83" s="57">
        <v>564</v>
      </c>
      <c r="C83" s="34" t="s">
        <v>292</v>
      </c>
      <c r="D83" s="34" t="s">
        <v>293</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25">
      <c r="A84" s="118">
        <f t="shared" si="105"/>
        <v>76</v>
      </c>
      <c r="B84" s="57" t="s">
        <v>598</v>
      </c>
      <c r="C84" s="57" t="s">
        <v>599</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25">
      <c r="A85" s="161">
        <f t="shared" si="105"/>
        <v>77</v>
      </c>
      <c r="B85" s="57">
        <v>565</v>
      </c>
      <c r="C85" s="34" t="s">
        <v>46</v>
      </c>
      <c r="D85" s="34" t="s">
        <v>49</v>
      </c>
      <c r="E85" s="28">
        <f>78581919-E86</f>
        <v>78581919</v>
      </c>
      <c r="F85" s="8">
        <v>101</v>
      </c>
      <c r="G85" s="1">
        <f>VLOOKUP($F85,AF!$B$39:$M$80,G$9)*$E85</f>
        <v>0</v>
      </c>
      <c r="H85" s="1">
        <f>VLOOKUP($F85,AF!$B$39:$M$80,H$9)*$E85</f>
        <v>0</v>
      </c>
      <c r="I85" s="1">
        <f>VLOOKUP($F85,AF!$B$39:$M$80,I$9)*$E85</f>
        <v>0</v>
      </c>
      <c r="J85" s="1">
        <f>VLOOKUP($F85,AF!$B$39:$M$80,J$9)*$E85</f>
        <v>0</v>
      </c>
      <c r="K85" s="1">
        <f t="shared" si="93"/>
        <v>78581919</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78581919</v>
      </c>
      <c r="Y85" s="1">
        <f t="shared" si="96"/>
        <v>0</v>
      </c>
      <c r="Z85" s="1">
        <f t="shared" si="97"/>
        <v>0</v>
      </c>
      <c r="AA85" s="1">
        <f t="shared" si="98"/>
        <v>78581919</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78581919</v>
      </c>
      <c r="AO85" s="1">
        <f t="shared" si="101"/>
        <v>0</v>
      </c>
      <c r="AP85" s="1">
        <f t="shared" si="102"/>
        <v>0</v>
      </c>
      <c r="AQ85" s="1">
        <f t="shared" si="103"/>
        <v>78581919</v>
      </c>
      <c r="AR85" s="72">
        <f t="shared" si="104"/>
        <v>0</v>
      </c>
    </row>
    <row r="86" spans="1:44" x14ac:dyDescent="0.25">
      <c r="A86" s="118">
        <f t="shared" si="105"/>
        <v>78</v>
      </c>
      <c r="B86" s="57" t="s">
        <v>600</v>
      </c>
      <c r="C86" s="57" t="s">
        <v>601</v>
      </c>
      <c r="D86" s="34"/>
      <c r="E86" s="17">
        <f>SUM(G86:K86)</f>
        <v>0</v>
      </c>
      <c r="F86" s="8">
        <v>100</v>
      </c>
      <c r="G86" s="25">
        <v>0</v>
      </c>
      <c r="H86" s="25">
        <v>0</v>
      </c>
      <c r="I86" s="25"/>
      <c r="J86" s="25"/>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25">
      <c r="A87" s="118">
        <f t="shared" si="105"/>
        <v>79</v>
      </c>
      <c r="B87" s="57">
        <v>566</v>
      </c>
      <c r="C87" s="34" t="s">
        <v>294</v>
      </c>
      <c r="D87" s="34" t="s">
        <v>295</v>
      </c>
      <c r="E87" s="28">
        <f>1044030-E88</f>
        <v>1044030</v>
      </c>
      <c r="F87" s="8">
        <v>101</v>
      </c>
      <c r="G87" s="1">
        <f>VLOOKUP($F87,AF!$B$39:$M$80,G$9)*$E87</f>
        <v>0</v>
      </c>
      <c r="H87" s="1">
        <f>VLOOKUP($F87,AF!$B$39:$M$80,H$9)*$E87</f>
        <v>0</v>
      </c>
      <c r="I87" s="1">
        <f>VLOOKUP($F87,AF!$B$39:$M$80,I$9)*$E87</f>
        <v>0</v>
      </c>
      <c r="J87" s="1">
        <f>VLOOKUP($F87,AF!$B$39:$M$80,J$9)*$E87</f>
        <v>0</v>
      </c>
      <c r="K87" s="1">
        <f t="shared" si="93"/>
        <v>1044030</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1044030</v>
      </c>
      <c r="Y87" s="1">
        <f t="shared" si="96"/>
        <v>0</v>
      </c>
      <c r="Z87" s="1">
        <f t="shared" si="97"/>
        <v>0</v>
      </c>
      <c r="AA87" s="1">
        <f t="shared" si="98"/>
        <v>1044030</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1044030</v>
      </c>
      <c r="AO87" s="1">
        <f t="shared" si="101"/>
        <v>0</v>
      </c>
      <c r="AP87" s="1">
        <f t="shared" si="102"/>
        <v>0</v>
      </c>
      <c r="AQ87" s="1">
        <f t="shared" si="103"/>
        <v>1044030</v>
      </c>
      <c r="AR87" s="72">
        <f t="shared" si="104"/>
        <v>0</v>
      </c>
    </row>
    <row r="88" spans="1:44" x14ac:dyDescent="0.25">
      <c r="A88" s="118">
        <f t="shared" si="105"/>
        <v>80</v>
      </c>
      <c r="B88" s="57" t="s">
        <v>602</v>
      </c>
      <c r="C88" s="57" t="s">
        <v>603</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25">
      <c r="A89" s="118">
        <f t="shared" si="105"/>
        <v>81</v>
      </c>
      <c r="B89" s="57">
        <v>567</v>
      </c>
      <c r="C89" s="34" t="s">
        <v>61</v>
      </c>
      <c r="D89" s="34" t="s">
        <v>296</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25">
      <c r="A90" s="118">
        <f t="shared" si="105"/>
        <v>82</v>
      </c>
      <c r="B90" s="57" t="s">
        <v>604</v>
      </c>
      <c r="C90" s="57" t="s">
        <v>605</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25">
      <c r="A91" s="118">
        <f t="shared" si="105"/>
        <v>83</v>
      </c>
      <c r="B91" s="34"/>
      <c r="C91" s="34" t="s">
        <v>0</v>
      </c>
      <c r="D91" s="34"/>
      <c r="E91" s="33">
        <f>SUM(E61:E90)</f>
        <v>81466747</v>
      </c>
      <c r="F91" s="72"/>
      <c r="G91" s="33">
        <f t="shared" ref="G91:K91" si="106">SUM(G61:G90)</f>
        <v>6656.5359055118115</v>
      </c>
      <c r="H91" s="33">
        <f t="shared" si="106"/>
        <v>5547.113254593176</v>
      </c>
      <c r="I91" s="33">
        <f t="shared" si="106"/>
        <v>64804.732414698163</v>
      </c>
      <c r="J91" s="33">
        <f t="shared" si="106"/>
        <v>0</v>
      </c>
      <c r="K91" s="33">
        <f t="shared" si="106"/>
        <v>81389738.61842519</v>
      </c>
      <c r="L91" s="72">
        <f t="shared" si="94"/>
        <v>0</v>
      </c>
      <c r="N91" s="72"/>
      <c r="O91" s="33">
        <f t="shared" ref="O91:W91" si="107">SUM(O61:O90)</f>
        <v>1109.4226509186351</v>
      </c>
      <c r="P91" s="33">
        <f t="shared" si="107"/>
        <v>5547.113254593176</v>
      </c>
      <c r="Q91" s="33">
        <f t="shared" si="107"/>
        <v>5547.113254593176</v>
      </c>
      <c r="R91" s="33">
        <f t="shared" si="107"/>
        <v>0</v>
      </c>
      <c r="S91" s="33">
        <f t="shared" si="107"/>
        <v>64804.732414698163</v>
      </c>
      <c r="T91" s="33">
        <f t="shared" si="107"/>
        <v>0</v>
      </c>
      <c r="U91" s="33">
        <f t="shared" si="107"/>
        <v>0</v>
      </c>
      <c r="V91" s="33">
        <f t="shared" si="107"/>
        <v>0</v>
      </c>
      <c r="W91" s="33">
        <f t="shared" si="107"/>
        <v>81389738.61842519</v>
      </c>
      <c r="Y91" s="33">
        <f t="shared" ref="Y91:AA91" si="108">SUM(Y61:Y90)</f>
        <v>71461.268320209972</v>
      </c>
      <c r="Z91" s="33">
        <f t="shared" si="108"/>
        <v>5547.113254593176</v>
      </c>
      <c r="AA91" s="33">
        <f t="shared" si="108"/>
        <v>81466747</v>
      </c>
      <c r="AB91" s="72">
        <f t="shared" si="99"/>
        <v>0</v>
      </c>
      <c r="AD91" s="72"/>
      <c r="AE91" s="33">
        <f t="shared" ref="AE91:AM91" si="109">SUM(AE61:AE90)</f>
        <v>1109.4226509186351</v>
      </c>
      <c r="AF91" s="33">
        <f t="shared" si="109"/>
        <v>5547.113254593176</v>
      </c>
      <c r="AG91" s="33">
        <f t="shared" si="109"/>
        <v>5547.113254593176</v>
      </c>
      <c r="AH91" s="33">
        <f t="shared" si="109"/>
        <v>0</v>
      </c>
      <c r="AI91" s="33">
        <f t="shared" si="109"/>
        <v>64804.732414698163</v>
      </c>
      <c r="AJ91" s="33">
        <f t="shared" si="109"/>
        <v>0</v>
      </c>
      <c r="AK91" s="33">
        <f t="shared" si="109"/>
        <v>0</v>
      </c>
      <c r="AL91" s="33">
        <f t="shared" si="109"/>
        <v>0</v>
      </c>
      <c r="AM91" s="33">
        <f t="shared" si="109"/>
        <v>81389738.61842519</v>
      </c>
      <c r="AO91" s="33">
        <f t="shared" ref="AO91:AQ91" si="110">SUM(AO61:AO90)</f>
        <v>71461.268320209972</v>
      </c>
      <c r="AP91" s="33">
        <f t="shared" si="110"/>
        <v>5547.113254593176</v>
      </c>
      <c r="AQ91" s="33">
        <f t="shared" si="110"/>
        <v>81466747</v>
      </c>
      <c r="AR91" s="72">
        <f t="shared" si="104"/>
        <v>0</v>
      </c>
    </row>
    <row r="92" spans="1:44" x14ac:dyDescent="0.25">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25">
      <c r="A93" s="118">
        <f t="shared" si="105"/>
        <v>85</v>
      </c>
      <c r="B93" s="35" t="s">
        <v>405</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25">
      <c r="A94" s="118">
        <f t="shared" si="105"/>
        <v>86</v>
      </c>
      <c r="B94" s="79">
        <v>568</v>
      </c>
      <c r="C94" s="37" t="s">
        <v>268</v>
      </c>
      <c r="D94" s="34" t="s">
        <v>297</v>
      </c>
      <c r="E94" s="25">
        <f>5579-E95</f>
        <v>5579</v>
      </c>
      <c r="F94" s="8">
        <v>101</v>
      </c>
      <c r="G94" s="1">
        <f>VLOOKUP($F94,AF!$B$39:$M$80,G$9)*$E94</f>
        <v>0</v>
      </c>
      <c r="H94" s="1">
        <f>VLOOKUP($F94,AF!$B$39:$M$80,H$9)*$E94</f>
        <v>0</v>
      </c>
      <c r="I94" s="1">
        <f>VLOOKUP($F94,AF!$B$39:$M$80,I$9)*$E94</f>
        <v>0</v>
      </c>
      <c r="J94" s="1">
        <f>VLOOKUP($F94,AF!$B$39:$M$80,J$9)*$E94</f>
        <v>0</v>
      </c>
      <c r="K94" s="1">
        <f t="shared" ref="K94" si="111">E94-SUM(G94:J94)</f>
        <v>5579</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5579</v>
      </c>
      <c r="Y94" s="1">
        <f t="shared" ref="Y94:Y113" si="114">+O94+Q94+S94+U94</f>
        <v>0</v>
      </c>
      <c r="Z94" s="1">
        <f t="shared" ref="Z94:Z113" si="115">+P94+R94+T94+V94</f>
        <v>0</v>
      </c>
      <c r="AA94" s="1">
        <f t="shared" ref="AA94:AA113" si="116">+Z94+Y94+W94</f>
        <v>5579</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5579</v>
      </c>
      <c r="AO94" s="1">
        <f t="shared" ref="AO94:AO113" si="119">+AE94+AG94+AI94+AK94</f>
        <v>0</v>
      </c>
      <c r="AP94" s="1">
        <f t="shared" ref="AP94:AP113" si="120">+AF94+AH94+AJ94+AL94</f>
        <v>0</v>
      </c>
      <c r="AQ94" s="1">
        <f t="shared" ref="AQ94:AQ113" si="121">+AP94+AO94+AM94</f>
        <v>5579</v>
      </c>
      <c r="AR94" s="72">
        <f t="shared" ref="AR94:AR114" si="122">$E94-AQ94</f>
        <v>0</v>
      </c>
    </row>
    <row r="95" spans="1:44" x14ac:dyDescent="0.25">
      <c r="A95" s="118">
        <f t="shared" si="105"/>
        <v>87</v>
      </c>
      <c r="B95" s="79" t="s">
        <v>606</v>
      </c>
      <c r="C95" s="79" t="s">
        <v>607</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25">
      <c r="A96" s="118">
        <f t="shared" si="105"/>
        <v>88</v>
      </c>
      <c r="B96" s="79">
        <v>569</v>
      </c>
      <c r="C96" s="37" t="s">
        <v>270</v>
      </c>
      <c r="D96" s="34" t="s">
        <v>385</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25">
      <c r="A97" s="118">
        <f t="shared" si="105"/>
        <v>89</v>
      </c>
      <c r="B97" s="79" t="s">
        <v>608</v>
      </c>
      <c r="C97" s="79" t="s">
        <v>609</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25">
      <c r="A98" s="118">
        <f t="shared" si="105"/>
        <v>90</v>
      </c>
      <c r="B98" s="79">
        <v>569.1</v>
      </c>
      <c r="C98" s="37" t="s">
        <v>381</v>
      </c>
      <c r="D98" s="34" t="s">
        <v>386</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25">
      <c r="A99" s="118">
        <f t="shared" si="105"/>
        <v>91</v>
      </c>
      <c r="B99" s="79" t="s">
        <v>610</v>
      </c>
      <c r="C99" s="79" t="s">
        <v>611</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25">
      <c r="A100" s="118">
        <f t="shared" si="105"/>
        <v>92</v>
      </c>
      <c r="B100" s="79">
        <v>569.20000000000005</v>
      </c>
      <c r="C100" s="37" t="s">
        <v>382</v>
      </c>
      <c r="D100" s="34" t="s">
        <v>387</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25">
      <c r="A101" s="118">
        <f t="shared" si="105"/>
        <v>93</v>
      </c>
      <c r="B101" s="79" t="s">
        <v>612</v>
      </c>
      <c r="C101" s="79" t="s">
        <v>613</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25">
      <c r="A102" s="118">
        <f t="shared" si="105"/>
        <v>94</v>
      </c>
      <c r="B102" s="79">
        <v>569.29999999999995</v>
      </c>
      <c r="C102" s="37" t="s">
        <v>383</v>
      </c>
      <c r="D102" s="34" t="s">
        <v>388</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25">
      <c r="A103" s="118">
        <f t="shared" si="105"/>
        <v>95</v>
      </c>
      <c r="B103" s="79" t="s">
        <v>614</v>
      </c>
      <c r="C103" s="79" t="s">
        <v>615</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25">
      <c r="A104" s="118">
        <f t="shared" si="105"/>
        <v>96</v>
      </c>
      <c r="B104" s="79">
        <v>569.4</v>
      </c>
      <c r="C104" s="37" t="s">
        <v>384</v>
      </c>
      <c r="D104" s="34" t="s">
        <v>389</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25">
      <c r="A105" s="118">
        <f t="shared" si="105"/>
        <v>97</v>
      </c>
      <c r="B105" s="79" t="s">
        <v>616</v>
      </c>
      <c r="C105" s="79" t="s">
        <v>617</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25">
      <c r="A106" s="118">
        <f t="shared" si="105"/>
        <v>98</v>
      </c>
      <c r="B106" s="57">
        <v>570</v>
      </c>
      <c r="C106" s="34" t="s">
        <v>237</v>
      </c>
      <c r="D106" s="34" t="s">
        <v>73</v>
      </c>
      <c r="E106" s="25">
        <f>269277-E107</f>
        <v>0.33000000001629815</v>
      </c>
      <c r="F106" s="8">
        <v>101</v>
      </c>
      <c r="G106" s="1">
        <f>VLOOKUP($F106,AF!$B$39:$M$80,G$9)*$E106</f>
        <v>0</v>
      </c>
      <c r="H106" s="1">
        <f>VLOOKUP($F106,AF!$B$39:$M$80,H$9)*$E106</f>
        <v>0</v>
      </c>
      <c r="I106" s="1">
        <f>VLOOKUP($F106,AF!$B$39:$M$80,I$9)*$E106</f>
        <v>0</v>
      </c>
      <c r="J106" s="1">
        <f>VLOOKUP($F106,AF!$B$39:$M$80,J$9)*$E106</f>
        <v>0</v>
      </c>
      <c r="K106" s="1">
        <f t="shared" ref="K106" si="128">E106-SUM(G106:J106)</f>
        <v>0.33000000001629815</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0.33000000001629815</v>
      </c>
      <c r="Y106" s="1">
        <f t="shared" si="114"/>
        <v>0</v>
      </c>
      <c r="Z106" s="1">
        <f t="shared" si="115"/>
        <v>0</v>
      </c>
      <c r="AA106" s="1">
        <f t="shared" si="116"/>
        <v>0.33000000001629815</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0.33000000001629815</v>
      </c>
      <c r="AO106" s="1">
        <f t="shared" si="119"/>
        <v>0</v>
      </c>
      <c r="AP106" s="1">
        <f t="shared" si="120"/>
        <v>0</v>
      </c>
      <c r="AQ106" s="1">
        <f t="shared" si="121"/>
        <v>0.33000000001629815</v>
      </c>
      <c r="AR106" s="72">
        <f t="shared" si="122"/>
        <v>0</v>
      </c>
    </row>
    <row r="107" spans="1:44" x14ac:dyDescent="0.25">
      <c r="A107" s="118">
        <f t="shared" si="105"/>
        <v>99</v>
      </c>
      <c r="B107" s="79" t="s">
        <v>618</v>
      </c>
      <c r="C107" s="79" t="s">
        <v>712</v>
      </c>
      <c r="D107" s="34"/>
      <c r="E107" s="17">
        <f>SUM(G107:K107)</f>
        <v>269276.67</v>
      </c>
      <c r="F107" s="8">
        <v>100</v>
      </c>
      <c r="G107" s="25">
        <v>0</v>
      </c>
      <c r="H107" s="25">
        <v>0</v>
      </c>
      <c r="I107" s="25">
        <v>29205.45</v>
      </c>
      <c r="J107" s="25">
        <v>0</v>
      </c>
      <c r="K107" s="25">
        <v>240071.22</v>
      </c>
      <c r="L107" s="72">
        <f t="shared" si="112"/>
        <v>0</v>
      </c>
      <c r="N107" s="8">
        <v>202</v>
      </c>
      <c r="O107" s="1">
        <f>VLOOKUP($N107,AF!$B$39:$M$80,O$9)*$G107</f>
        <v>0</v>
      </c>
      <c r="P107" s="1">
        <f>VLOOKUP($N107,AF!$B$39:$M$80,P$9)*$G107</f>
        <v>0</v>
      </c>
      <c r="Q107" s="1">
        <f>VLOOKUP($N107,AF!$B$39:$M$80,Q$9)*$H107</f>
        <v>0</v>
      </c>
      <c r="R107" s="1">
        <f>VLOOKUP($N107,AF!$B$39:$M$80,R$9)*$H107</f>
        <v>0</v>
      </c>
      <c r="S107" s="1">
        <f>VLOOKUP($N107,AF!$B$39:$M$80,S$9)*$I107</f>
        <v>29205.45</v>
      </c>
      <c r="T107" s="1">
        <f>VLOOKUP($N107,AF!$B$39:$M$80,T$9)*$I107</f>
        <v>0</v>
      </c>
      <c r="U107" s="1">
        <f>VLOOKUP($N107,AF!$B$39:$M$80,U$9)*$J107</f>
        <v>0</v>
      </c>
      <c r="V107" s="1">
        <f>VLOOKUP($N107,AF!$B$39:$M$80,V$9)*$J107</f>
        <v>0</v>
      </c>
      <c r="W107" s="1">
        <f t="shared" si="113"/>
        <v>240071.21999999997</v>
      </c>
      <c r="Y107" s="1">
        <f t="shared" si="114"/>
        <v>29205.45</v>
      </c>
      <c r="Z107" s="1">
        <f t="shared" si="115"/>
        <v>0</v>
      </c>
      <c r="AA107" s="1">
        <f t="shared" si="116"/>
        <v>269276.67</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29205.45</v>
      </c>
      <c r="AJ107" s="1">
        <f>VLOOKUP($AD107,AF!$B$39:$M$80,AJ$9)*$T107</f>
        <v>0</v>
      </c>
      <c r="AK107" s="1">
        <f>VLOOKUP($AD107,AF!$B$39:$M$80,AK$9)*$U107</f>
        <v>0</v>
      </c>
      <c r="AL107" s="1">
        <f>VLOOKUP($AD107,AF!$B$39:$M$80,AL$9)*$V107</f>
        <v>0</v>
      </c>
      <c r="AM107" s="1">
        <f t="shared" si="118"/>
        <v>240071.21999999997</v>
      </c>
      <c r="AO107" s="1">
        <f t="shared" si="119"/>
        <v>29205.45</v>
      </c>
      <c r="AP107" s="1">
        <f t="shared" si="120"/>
        <v>0</v>
      </c>
      <c r="AQ107" s="1">
        <f t="shared" si="121"/>
        <v>269276.67</v>
      </c>
      <c r="AR107" s="72">
        <f t="shared" si="122"/>
        <v>0</v>
      </c>
    </row>
    <row r="108" spans="1:44" x14ac:dyDescent="0.25">
      <c r="A108" s="118">
        <f t="shared" si="105"/>
        <v>100</v>
      </c>
      <c r="B108" s="57">
        <v>571</v>
      </c>
      <c r="C108" s="34" t="s">
        <v>238</v>
      </c>
      <c r="D108" s="34" t="s">
        <v>74</v>
      </c>
      <c r="E108" s="28">
        <f>169920-E109</f>
        <v>-0.14999999999417923</v>
      </c>
      <c r="F108" s="8">
        <v>101</v>
      </c>
      <c r="G108" s="1">
        <f>VLOOKUP($F108,AF!$B$39:$M$80,G$9)*$E108</f>
        <v>0</v>
      </c>
      <c r="H108" s="1">
        <f>VLOOKUP($F108,AF!$B$39:$M$80,H$9)*$E108</f>
        <v>0</v>
      </c>
      <c r="I108" s="1">
        <f>VLOOKUP($F108,AF!$B$39:$M$80,I$9)*$E108</f>
        <v>0</v>
      </c>
      <c r="J108" s="1">
        <f>VLOOKUP($F108,AF!$B$39:$M$80,J$9)*$E108</f>
        <v>0</v>
      </c>
      <c r="K108" s="1">
        <f t="shared" ref="K108" si="129">E108-SUM(G108:J108)</f>
        <v>-0.14999999999417923</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-0.14999999999417923</v>
      </c>
      <c r="Y108" s="1">
        <f t="shared" si="114"/>
        <v>0</v>
      </c>
      <c r="Z108" s="1">
        <f t="shared" si="115"/>
        <v>0</v>
      </c>
      <c r="AA108" s="1">
        <f t="shared" si="116"/>
        <v>-0.14999999999417923</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-0.14999999999417923</v>
      </c>
      <c r="AO108" s="1">
        <f t="shared" si="119"/>
        <v>0</v>
      </c>
      <c r="AP108" s="1">
        <f t="shared" si="120"/>
        <v>0</v>
      </c>
      <c r="AQ108" s="1">
        <f t="shared" si="121"/>
        <v>-0.14999999999417923</v>
      </c>
      <c r="AR108" s="72">
        <f t="shared" si="122"/>
        <v>0</v>
      </c>
    </row>
    <row r="109" spans="1:44" x14ac:dyDescent="0.25">
      <c r="A109" s="118">
        <f t="shared" si="105"/>
        <v>101</v>
      </c>
      <c r="B109" s="79" t="s">
        <v>619</v>
      </c>
      <c r="C109" s="79" t="s">
        <v>713</v>
      </c>
      <c r="D109" s="34"/>
      <c r="E109" s="17">
        <f>SUM(G109:K109)</f>
        <v>169920.15</v>
      </c>
      <c r="F109" s="8">
        <v>100</v>
      </c>
      <c r="G109" s="25">
        <v>66425.53</v>
      </c>
      <c r="H109" s="25"/>
      <c r="I109" s="25">
        <v>58951.21</v>
      </c>
      <c r="J109" s="25">
        <v>0</v>
      </c>
      <c r="K109" s="25">
        <f>43256.41+1287</f>
        <v>44543.41</v>
      </c>
      <c r="L109" s="72">
        <f t="shared" si="112"/>
        <v>0</v>
      </c>
      <c r="N109" s="8">
        <v>209</v>
      </c>
      <c r="O109" s="1">
        <f>VLOOKUP($N109,AF!$B$39:$M$80,O$9)*$G109</f>
        <v>51312.628011273882</v>
      </c>
      <c r="P109" s="1">
        <f>VLOOKUP($N109,AF!$B$39:$M$80,P$9)*$G109</f>
        <v>15112.901988726115</v>
      </c>
      <c r="Q109" s="1">
        <f>VLOOKUP($N109,AF!$B$39:$M$80,Q$9)*$H109</f>
        <v>0</v>
      </c>
      <c r="R109" s="1">
        <f>VLOOKUP($N109,AF!$B$39:$M$80,R$9)*$H109</f>
        <v>0</v>
      </c>
      <c r="S109" s="1">
        <f>VLOOKUP($N109,AF!$B$39:$M$80,S$9)*$I109</f>
        <v>58951.21</v>
      </c>
      <c r="T109" s="1">
        <f>VLOOKUP($N109,AF!$B$39:$M$80,T$9)*$I109</f>
        <v>0</v>
      </c>
      <c r="U109" s="1">
        <f>VLOOKUP($N109,AF!$B$39:$M$80,U$9)*$J109</f>
        <v>0</v>
      </c>
      <c r="V109" s="1">
        <f>VLOOKUP($N109,AF!$B$39:$M$80,V$9)*$J109</f>
        <v>0</v>
      </c>
      <c r="W109" s="1">
        <f t="shared" si="113"/>
        <v>44543.41</v>
      </c>
      <c r="Y109" s="1">
        <f t="shared" si="114"/>
        <v>110263.83801127388</v>
      </c>
      <c r="Z109" s="1">
        <f t="shared" si="115"/>
        <v>15112.901988726115</v>
      </c>
      <c r="AA109" s="1">
        <f t="shared" si="116"/>
        <v>169920.15</v>
      </c>
      <c r="AB109" s="72">
        <f t="shared" si="117"/>
        <v>0</v>
      </c>
      <c r="AD109" s="72">
        <v>300</v>
      </c>
      <c r="AE109" s="1">
        <f>VLOOKUP($AD109,AF!$B$39:$M$80,AE$9)*$O109</f>
        <v>51312.628011273882</v>
      </c>
      <c r="AF109" s="1">
        <f>VLOOKUP($AD109,AF!$B$39:$M$80,AF$9)*$P109</f>
        <v>15112.901988726115</v>
      </c>
      <c r="AG109" s="1">
        <f>VLOOKUP($AD109,AF!$B$39:$M$80,AG$9)*$Q109</f>
        <v>0</v>
      </c>
      <c r="AH109" s="1">
        <f>VLOOKUP($AD109,AF!$B$39:$M$80,AH$9)*$R109</f>
        <v>0</v>
      </c>
      <c r="AI109" s="1">
        <f>VLOOKUP($AD109,AF!$B$39:$M$80,AI$9)*$S109</f>
        <v>58951.21</v>
      </c>
      <c r="AJ109" s="1">
        <f>VLOOKUP($AD109,AF!$B$39:$M$80,AJ$9)*$T109</f>
        <v>0</v>
      </c>
      <c r="AK109" s="1">
        <f>VLOOKUP($AD109,AF!$B$39:$M$80,AK$9)*$U109</f>
        <v>0</v>
      </c>
      <c r="AL109" s="1">
        <f>VLOOKUP($AD109,AF!$B$39:$M$80,AL$9)*$V109</f>
        <v>0</v>
      </c>
      <c r="AM109" s="1">
        <f t="shared" si="118"/>
        <v>44543.41</v>
      </c>
      <c r="AO109" s="1">
        <f t="shared" si="119"/>
        <v>110263.83801127388</v>
      </c>
      <c r="AP109" s="1">
        <f t="shared" si="120"/>
        <v>15112.901988726115</v>
      </c>
      <c r="AQ109" s="1">
        <f t="shared" si="121"/>
        <v>169920.15</v>
      </c>
      <c r="AR109" s="72">
        <f t="shared" si="122"/>
        <v>0</v>
      </c>
    </row>
    <row r="110" spans="1:44" x14ac:dyDescent="0.25">
      <c r="A110" s="118">
        <f t="shared" si="105"/>
        <v>102</v>
      </c>
      <c r="B110" s="57">
        <v>572</v>
      </c>
      <c r="C110" s="34" t="s">
        <v>298</v>
      </c>
      <c r="D110" s="34" t="s">
        <v>299</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25">
      <c r="A111" s="118">
        <f t="shared" si="105"/>
        <v>103</v>
      </c>
      <c r="B111" s="79" t="s">
        <v>620</v>
      </c>
      <c r="C111" s="79" t="s">
        <v>621</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25">
      <c r="A112" s="118">
        <f t="shared" si="105"/>
        <v>104</v>
      </c>
      <c r="B112" s="57">
        <v>573</v>
      </c>
      <c r="C112" s="34" t="s">
        <v>300</v>
      </c>
      <c r="D112" s="34" t="s">
        <v>301</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25">
      <c r="A113" s="118">
        <f t="shared" si="105"/>
        <v>105</v>
      </c>
      <c r="B113" s="79" t="s">
        <v>622</v>
      </c>
      <c r="C113" s="79" t="s">
        <v>623</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25">
      <c r="A114" s="118">
        <f t="shared" si="105"/>
        <v>106</v>
      </c>
      <c r="B114" s="34"/>
      <c r="C114" s="34" t="s">
        <v>0</v>
      </c>
      <c r="D114" s="34"/>
      <c r="E114" s="33">
        <f>SUM(E94:E113)</f>
        <v>444776</v>
      </c>
      <c r="F114" s="72"/>
      <c r="G114" s="33">
        <f t="shared" ref="G114:K114" si="132">SUM(G94:G113)</f>
        <v>66425.53</v>
      </c>
      <c r="H114" s="33">
        <f t="shared" si="132"/>
        <v>0</v>
      </c>
      <c r="I114" s="33">
        <f t="shared" si="132"/>
        <v>88156.66</v>
      </c>
      <c r="J114" s="33">
        <f t="shared" si="132"/>
        <v>0</v>
      </c>
      <c r="K114" s="33">
        <f t="shared" si="132"/>
        <v>290193.81000000006</v>
      </c>
      <c r="L114" s="72">
        <f t="shared" si="112"/>
        <v>0</v>
      </c>
      <c r="N114" s="72"/>
      <c r="O114" s="33">
        <f t="shared" ref="O114:W114" si="133">SUM(O94:O113)</f>
        <v>51312.628011273882</v>
      </c>
      <c r="P114" s="33">
        <f t="shared" si="133"/>
        <v>15112.901988726115</v>
      </c>
      <c r="Q114" s="33">
        <f t="shared" si="133"/>
        <v>0</v>
      </c>
      <c r="R114" s="33">
        <f t="shared" si="133"/>
        <v>0</v>
      </c>
      <c r="S114" s="33">
        <f t="shared" si="133"/>
        <v>88156.66</v>
      </c>
      <c r="T114" s="33">
        <f t="shared" si="133"/>
        <v>0</v>
      </c>
      <c r="U114" s="33">
        <f t="shared" si="133"/>
        <v>0</v>
      </c>
      <c r="V114" s="33">
        <f t="shared" si="133"/>
        <v>0</v>
      </c>
      <c r="W114" s="33">
        <f t="shared" si="133"/>
        <v>290193.81</v>
      </c>
      <c r="Y114" s="33">
        <f t="shared" ref="Y114:AA114" si="134">SUM(Y94:Y113)</f>
        <v>139469.28801127389</v>
      </c>
      <c r="Z114" s="33">
        <f t="shared" si="134"/>
        <v>15112.901988726115</v>
      </c>
      <c r="AA114" s="33">
        <f t="shared" si="134"/>
        <v>444776</v>
      </c>
      <c r="AB114" s="72">
        <f t="shared" si="117"/>
        <v>0</v>
      </c>
      <c r="AD114" s="72"/>
      <c r="AE114" s="33">
        <f t="shared" ref="AE114:AM114" si="135">SUM(AE94:AE113)</f>
        <v>51312.628011273882</v>
      </c>
      <c r="AF114" s="33">
        <f t="shared" si="135"/>
        <v>15112.901988726115</v>
      </c>
      <c r="AG114" s="33">
        <f t="shared" si="135"/>
        <v>0</v>
      </c>
      <c r="AH114" s="33">
        <f t="shared" si="135"/>
        <v>0</v>
      </c>
      <c r="AI114" s="33">
        <f t="shared" si="135"/>
        <v>88156.66</v>
      </c>
      <c r="AJ114" s="33">
        <f t="shared" si="135"/>
        <v>0</v>
      </c>
      <c r="AK114" s="33">
        <f t="shared" si="135"/>
        <v>0</v>
      </c>
      <c r="AL114" s="33">
        <f t="shared" si="135"/>
        <v>0</v>
      </c>
      <c r="AM114" s="33">
        <f t="shared" si="135"/>
        <v>290193.81</v>
      </c>
      <c r="AO114" s="33">
        <f t="shared" ref="AO114:AQ114" si="136">SUM(AO94:AO113)</f>
        <v>139469.28801127389</v>
      </c>
      <c r="AP114" s="33">
        <f t="shared" si="136"/>
        <v>15112.901988726115</v>
      </c>
      <c r="AQ114" s="33">
        <f t="shared" si="136"/>
        <v>444776</v>
      </c>
      <c r="AR114" s="72">
        <f t="shared" si="122"/>
        <v>0</v>
      </c>
    </row>
    <row r="115" spans="1:44" x14ac:dyDescent="0.25">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25">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5.75" thickBot="1" x14ac:dyDescent="0.3">
      <c r="A117" s="118">
        <f t="shared" si="105"/>
        <v>109</v>
      </c>
      <c r="B117" s="34" t="s">
        <v>392</v>
      </c>
      <c r="C117" s="34"/>
      <c r="D117" s="34"/>
      <c r="E117" s="62">
        <f>+E91+E114</f>
        <v>81911523</v>
      </c>
      <c r="F117" s="29"/>
      <c r="G117" s="62">
        <f t="shared" ref="G117:K117" si="137">+G91+G114</f>
        <v>73082.065905511816</v>
      </c>
      <c r="H117" s="62">
        <f t="shared" si="137"/>
        <v>5547.113254593176</v>
      </c>
      <c r="I117" s="62">
        <f t="shared" si="137"/>
        <v>152961.39241469817</v>
      </c>
      <c r="J117" s="62">
        <f t="shared" si="137"/>
        <v>0</v>
      </c>
      <c r="K117" s="62">
        <f t="shared" si="137"/>
        <v>81679932.428425193</v>
      </c>
      <c r="L117" s="72">
        <f>$E117-SUM(G117:K117)</f>
        <v>0</v>
      </c>
      <c r="N117" s="29"/>
      <c r="O117" s="62">
        <f t="shared" ref="O117:W117" si="138">+O91+O114</f>
        <v>52422.050662192516</v>
      </c>
      <c r="P117" s="62">
        <f t="shared" si="138"/>
        <v>20660.015243319292</v>
      </c>
      <c r="Q117" s="62">
        <f t="shared" si="138"/>
        <v>5547.113254593176</v>
      </c>
      <c r="R117" s="62">
        <f t="shared" si="138"/>
        <v>0</v>
      </c>
      <c r="S117" s="62">
        <f t="shared" si="138"/>
        <v>152961.39241469817</v>
      </c>
      <c r="T117" s="62">
        <f t="shared" si="138"/>
        <v>0</v>
      </c>
      <c r="U117" s="62">
        <f t="shared" si="138"/>
        <v>0</v>
      </c>
      <c r="V117" s="62">
        <f t="shared" si="138"/>
        <v>0</v>
      </c>
      <c r="W117" s="62">
        <f t="shared" si="138"/>
        <v>81679932.428425193</v>
      </c>
      <c r="Y117" s="62">
        <f t="shared" ref="Y117:AA117" si="139">+Y91+Y114</f>
        <v>210930.55633148388</v>
      </c>
      <c r="Z117" s="62">
        <f t="shared" si="139"/>
        <v>20660.015243319292</v>
      </c>
      <c r="AA117" s="62">
        <f t="shared" si="139"/>
        <v>81911523</v>
      </c>
      <c r="AB117" s="72">
        <f t="shared" ref="AB117" si="140">$E117-AA117</f>
        <v>0</v>
      </c>
      <c r="AD117" s="29"/>
      <c r="AE117" s="62">
        <f t="shared" ref="AE117:AM117" si="141">+AE91+AE114</f>
        <v>52422.050662192516</v>
      </c>
      <c r="AF117" s="62">
        <f t="shared" si="141"/>
        <v>20660.015243319292</v>
      </c>
      <c r="AG117" s="62">
        <f t="shared" si="141"/>
        <v>5547.113254593176</v>
      </c>
      <c r="AH117" s="62">
        <f t="shared" si="141"/>
        <v>0</v>
      </c>
      <c r="AI117" s="62">
        <f t="shared" si="141"/>
        <v>152961.39241469817</v>
      </c>
      <c r="AJ117" s="62">
        <f t="shared" si="141"/>
        <v>0</v>
      </c>
      <c r="AK117" s="62">
        <f t="shared" si="141"/>
        <v>0</v>
      </c>
      <c r="AL117" s="62">
        <f t="shared" si="141"/>
        <v>0</v>
      </c>
      <c r="AM117" s="62">
        <f t="shared" si="141"/>
        <v>81679932.428425193</v>
      </c>
      <c r="AO117" s="62">
        <f t="shared" ref="AO117:AQ117" si="142">+AO91+AO114</f>
        <v>210930.55633148388</v>
      </c>
      <c r="AP117" s="62">
        <f t="shared" si="142"/>
        <v>20660.015243319292</v>
      </c>
      <c r="AQ117" s="62">
        <f t="shared" si="142"/>
        <v>81911523</v>
      </c>
      <c r="AR117" s="72">
        <f t="shared" ref="AR117" si="143">$E117-AQ117</f>
        <v>0</v>
      </c>
    </row>
    <row r="118" spans="1:44" ht="15.75" thickTop="1" x14ac:dyDescent="0.25">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25">
      <c r="A119" s="118">
        <f t="shared" si="105"/>
        <v>111</v>
      </c>
      <c r="B119" s="35" t="s">
        <v>406</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25">
      <c r="A120" s="118">
        <f t="shared" si="105"/>
        <v>112</v>
      </c>
      <c r="B120" s="57">
        <v>575.1</v>
      </c>
      <c r="C120" s="34" t="s">
        <v>364</v>
      </c>
      <c r="D120" s="34" t="s">
        <v>393</v>
      </c>
      <c r="E120" s="25">
        <v>561046</v>
      </c>
      <c r="F120" s="8">
        <v>101</v>
      </c>
      <c r="G120" s="1">
        <f>VLOOKUP($F120,AF!$B$39:$M$80,G$9)*$E120</f>
        <v>0</v>
      </c>
      <c r="H120" s="1">
        <f>VLOOKUP($F120,AF!$B$39:$M$80,H$9)*$E120</f>
        <v>0</v>
      </c>
      <c r="I120" s="1">
        <f>VLOOKUP($F120,AF!$B$39:$M$80,I$9)*$E120</f>
        <v>0</v>
      </c>
      <c r="J120" s="1">
        <f>VLOOKUP($F120,AF!$B$39:$M$80,J$9)*$E120</f>
        <v>0</v>
      </c>
      <c r="K120" s="1">
        <f t="shared" ref="K120:K127" si="144">E120-SUM(G120:J120)</f>
        <v>561046</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561046</v>
      </c>
      <c r="Y120" s="1">
        <f t="shared" ref="Y120:Z127" si="147">+O120+Q120+S120+U120</f>
        <v>0</v>
      </c>
      <c r="Z120" s="1">
        <f t="shared" si="147"/>
        <v>0</v>
      </c>
      <c r="AA120" s="1">
        <f t="shared" ref="AA120:AA127" si="148">+Z120+Y120+W120</f>
        <v>561046</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561046</v>
      </c>
      <c r="AO120" s="1">
        <f t="shared" ref="AO120:AP127" si="151">+AE120+AG120+AI120+AK120</f>
        <v>0</v>
      </c>
      <c r="AP120" s="1">
        <f t="shared" si="151"/>
        <v>0</v>
      </c>
      <c r="AQ120" s="1">
        <f t="shared" ref="AQ120:AQ127" si="152">+AP120+AO120+AM120</f>
        <v>561046</v>
      </c>
      <c r="AR120" s="72">
        <f t="shared" ref="AR120:AR128" si="153">$E120-AQ120</f>
        <v>0</v>
      </c>
    </row>
    <row r="121" spans="1:44" x14ac:dyDescent="0.25">
      <c r="A121" s="118">
        <f t="shared" si="105"/>
        <v>113</v>
      </c>
      <c r="B121" s="57">
        <v>575.20000000000005</v>
      </c>
      <c r="C121" s="34" t="s">
        <v>365</v>
      </c>
      <c r="D121" s="34" t="s">
        <v>394</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25">
      <c r="A122" s="118">
        <f t="shared" si="105"/>
        <v>114</v>
      </c>
      <c r="B122" s="57">
        <v>575.29999999999995</v>
      </c>
      <c r="C122" s="34" t="s">
        <v>366</v>
      </c>
      <c r="D122" s="34" t="s">
        <v>395</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25">
      <c r="A123" s="118">
        <f t="shared" si="105"/>
        <v>115</v>
      </c>
      <c r="B123" s="57">
        <v>575.4</v>
      </c>
      <c r="C123" s="34" t="s">
        <v>367</v>
      </c>
      <c r="D123" s="34" t="s">
        <v>396</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25">
      <c r="A124" s="118">
        <f t="shared" si="105"/>
        <v>116</v>
      </c>
      <c r="B124" s="57">
        <v>575.5</v>
      </c>
      <c r="C124" s="34" t="s">
        <v>368</v>
      </c>
      <c r="D124" s="34" t="s">
        <v>397</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25">
      <c r="A125" s="118">
        <f t="shared" si="105"/>
        <v>117</v>
      </c>
      <c r="B125" s="57">
        <v>575.6</v>
      </c>
      <c r="C125" s="34" t="s">
        <v>369</v>
      </c>
      <c r="D125" s="34" t="s">
        <v>398</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25">
      <c r="A126" s="118">
        <f t="shared" si="105"/>
        <v>118</v>
      </c>
      <c r="B126" s="57">
        <v>575.70000000000005</v>
      </c>
      <c r="C126" s="34" t="s">
        <v>370</v>
      </c>
      <c r="D126" s="34" t="s">
        <v>399</v>
      </c>
      <c r="E126" s="25">
        <v>3571495</v>
      </c>
      <c r="F126" s="8">
        <v>101</v>
      </c>
      <c r="G126" s="1">
        <f>VLOOKUP($F126,AF!$B$39:$M$80,G$9)*$E126</f>
        <v>0</v>
      </c>
      <c r="H126" s="1">
        <f>VLOOKUP($F126,AF!$B$39:$M$80,H$9)*$E126</f>
        <v>0</v>
      </c>
      <c r="I126" s="1">
        <f>VLOOKUP($F126,AF!$B$39:$M$80,I$9)*$E126</f>
        <v>0</v>
      </c>
      <c r="J126" s="1">
        <f>VLOOKUP($F126,AF!$B$39:$M$80,J$9)*$E126</f>
        <v>0</v>
      </c>
      <c r="K126" s="1">
        <f t="shared" si="144"/>
        <v>3571495</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3571495</v>
      </c>
      <c r="Y126" s="1">
        <f t="shared" si="147"/>
        <v>0</v>
      </c>
      <c r="Z126" s="1">
        <f t="shared" si="147"/>
        <v>0</v>
      </c>
      <c r="AA126" s="1">
        <f t="shared" si="148"/>
        <v>3571495</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3571495</v>
      </c>
      <c r="AO126" s="1">
        <f t="shared" si="151"/>
        <v>0</v>
      </c>
      <c r="AP126" s="1">
        <f t="shared" si="151"/>
        <v>0</v>
      </c>
      <c r="AQ126" s="1">
        <f t="shared" si="152"/>
        <v>3571495</v>
      </c>
      <c r="AR126" s="72">
        <f t="shared" si="153"/>
        <v>0</v>
      </c>
    </row>
    <row r="127" spans="1:44" x14ac:dyDescent="0.25">
      <c r="A127" s="118">
        <f t="shared" si="105"/>
        <v>119</v>
      </c>
      <c r="B127" s="57">
        <v>575.79999999999995</v>
      </c>
      <c r="C127" s="34" t="s">
        <v>371</v>
      </c>
      <c r="D127" s="34" t="s">
        <v>400</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25">
      <c r="A128" s="118">
        <f t="shared" si="105"/>
        <v>120</v>
      </c>
      <c r="B128" s="34"/>
      <c r="C128" s="34" t="s">
        <v>0</v>
      </c>
      <c r="D128" s="34"/>
      <c r="E128" s="33">
        <f>SUM(E120:E127)</f>
        <v>4132541</v>
      </c>
      <c r="F128" s="74"/>
      <c r="G128" s="33">
        <f t="shared" ref="G128:K128" si="154">SUM(G120:G127)</f>
        <v>0</v>
      </c>
      <c r="H128" s="33">
        <f t="shared" si="154"/>
        <v>0</v>
      </c>
      <c r="I128" s="33">
        <f t="shared" si="154"/>
        <v>0</v>
      </c>
      <c r="J128" s="33">
        <f t="shared" si="154"/>
        <v>0</v>
      </c>
      <c r="K128" s="33">
        <f t="shared" si="154"/>
        <v>4132541</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4132541</v>
      </c>
      <c r="Y128" s="33">
        <f t="shared" ref="Y128:AA128" si="156">SUM(Y120:Y127)</f>
        <v>0</v>
      </c>
      <c r="Z128" s="33">
        <f t="shared" si="156"/>
        <v>0</v>
      </c>
      <c r="AA128" s="33">
        <f t="shared" si="156"/>
        <v>4132541</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4132541</v>
      </c>
      <c r="AO128" s="33">
        <f t="shared" ref="AO128:AQ128" si="158">SUM(AO120:AO127)</f>
        <v>0</v>
      </c>
      <c r="AP128" s="33">
        <f t="shared" si="158"/>
        <v>0</v>
      </c>
      <c r="AQ128" s="33">
        <f t="shared" si="158"/>
        <v>4132541</v>
      </c>
      <c r="AR128" s="72">
        <f t="shared" si="153"/>
        <v>0</v>
      </c>
    </row>
    <row r="129" spans="1:44" x14ac:dyDescent="0.25">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25">
      <c r="A130" s="118">
        <f t="shared" si="105"/>
        <v>122</v>
      </c>
      <c r="B130" s="35" t="s">
        <v>407</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25">
      <c r="A131" s="118">
        <f t="shared" si="105"/>
        <v>123</v>
      </c>
      <c r="B131" s="57">
        <v>576.1</v>
      </c>
      <c r="C131" s="34" t="s">
        <v>364</v>
      </c>
      <c r="D131" s="34" t="s">
        <v>393</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25">
      <c r="A132" s="118">
        <f t="shared" si="105"/>
        <v>124</v>
      </c>
      <c r="B132" s="57">
        <v>576.20000000000005</v>
      </c>
      <c r="C132" s="34" t="s">
        <v>365</v>
      </c>
      <c r="D132" s="34" t="s">
        <v>394</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25">
      <c r="A133" s="118">
        <f t="shared" si="105"/>
        <v>125</v>
      </c>
      <c r="B133" s="57">
        <v>576.29999999999995</v>
      </c>
      <c r="C133" s="34" t="s">
        <v>366</v>
      </c>
      <c r="D133" s="34" t="s">
        <v>395</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25">
      <c r="A134" s="118">
        <f t="shared" si="105"/>
        <v>126</v>
      </c>
      <c r="B134" s="57">
        <v>576.4</v>
      </c>
      <c r="C134" s="34" t="s">
        <v>367</v>
      </c>
      <c r="D134" s="34" t="s">
        <v>396</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25">
      <c r="A135" s="118">
        <f t="shared" si="105"/>
        <v>127</v>
      </c>
      <c r="B135" s="57">
        <v>576.5</v>
      </c>
      <c r="C135" s="34" t="s">
        <v>368</v>
      </c>
      <c r="D135" s="34" t="s">
        <v>397</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25">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25">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5.75" thickBot="1" x14ac:dyDescent="0.3">
      <c r="A138" s="118">
        <f t="shared" si="105"/>
        <v>130</v>
      </c>
      <c r="B138" s="34" t="s">
        <v>401</v>
      </c>
      <c r="C138" s="34"/>
      <c r="D138" s="34"/>
      <c r="E138" s="62">
        <f>+E128+E136</f>
        <v>4132541</v>
      </c>
      <c r="F138" s="72"/>
      <c r="G138" s="62">
        <f t="shared" ref="G138:I138" si="174">+G128+G136</f>
        <v>0</v>
      </c>
      <c r="H138" s="62">
        <f t="shared" si="174"/>
        <v>0</v>
      </c>
      <c r="I138" s="62">
        <f t="shared" si="174"/>
        <v>0</v>
      </c>
      <c r="J138" s="62">
        <f t="shared" ref="J138:K138" si="175">+J128+J136</f>
        <v>0</v>
      </c>
      <c r="K138" s="62">
        <f t="shared" si="175"/>
        <v>4132541</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4132541</v>
      </c>
      <c r="Y138" s="62">
        <f t="shared" ref="Y138:AA138" si="181">+Y128+Y136</f>
        <v>0</v>
      </c>
      <c r="Z138" s="62">
        <f t="shared" si="181"/>
        <v>0</v>
      </c>
      <c r="AA138" s="62">
        <f t="shared" si="181"/>
        <v>4132541</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4132541</v>
      </c>
      <c r="AO138" s="62">
        <f t="shared" ref="AO138:AQ138" si="184">+AO128+AO136</f>
        <v>0</v>
      </c>
      <c r="AP138" s="62">
        <f t="shared" si="184"/>
        <v>0</v>
      </c>
      <c r="AQ138" s="62">
        <f t="shared" si="184"/>
        <v>4132541</v>
      </c>
      <c r="AR138" s="72">
        <f t="shared" ref="AR138" si="185">$E138-AQ138</f>
        <v>0</v>
      </c>
    </row>
    <row r="139" spans="1:44" ht="15.75" thickTop="1" x14ac:dyDescent="0.25">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25">
      <c r="A140" s="118">
        <f t="shared" si="186"/>
        <v>132</v>
      </c>
      <c r="B140" s="35" t="s">
        <v>402</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25">
      <c r="A141" s="118">
        <f t="shared" si="186"/>
        <v>133</v>
      </c>
      <c r="B141" s="79">
        <v>580</v>
      </c>
      <c r="C141" s="37" t="s">
        <v>45</v>
      </c>
      <c r="D141" s="34" t="s">
        <v>302</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25">
      <c r="A142" s="118">
        <f t="shared" si="186"/>
        <v>134</v>
      </c>
      <c r="B142" s="79" t="s">
        <v>624</v>
      </c>
      <c r="C142" s="79" t="s">
        <v>625</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25">
      <c r="A143" s="118">
        <f t="shared" si="186"/>
        <v>135</v>
      </c>
      <c r="B143" s="79">
        <v>581</v>
      </c>
      <c r="C143" s="37" t="s">
        <v>234</v>
      </c>
      <c r="D143" s="34" t="s">
        <v>303</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25">
      <c r="A144" s="118">
        <f t="shared" si="186"/>
        <v>136</v>
      </c>
      <c r="B144" s="79" t="s">
        <v>626</v>
      </c>
      <c r="C144" s="79" t="s">
        <v>627</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25">
      <c r="A145" s="118">
        <f t="shared" si="186"/>
        <v>137</v>
      </c>
      <c r="B145" s="79">
        <v>582</v>
      </c>
      <c r="C145" s="37" t="s">
        <v>304</v>
      </c>
      <c r="D145" s="34" t="s">
        <v>305</v>
      </c>
      <c r="E145" s="25">
        <f>652439-E146</f>
        <v>-2.0000000018626451E-2</v>
      </c>
      <c r="F145" s="72">
        <v>101</v>
      </c>
      <c r="G145" s="1">
        <f>VLOOKUP($F145,AF!$B$39:$M$80,G$9)*$E145</f>
        <v>0</v>
      </c>
      <c r="H145" s="1">
        <f>VLOOKUP($F145,AF!$B$39:$M$80,H$9)*$E145</f>
        <v>0</v>
      </c>
      <c r="I145" s="1">
        <f>VLOOKUP($F145,AF!$B$39:$M$80,I$9)*$E145</f>
        <v>0</v>
      </c>
      <c r="J145" s="1">
        <f>VLOOKUP($F145,AF!$B$39:$M$80,J$9)*$E145</f>
        <v>0</v>
      </c>
      <c r="K145" s="1">
        <f t="shared" ref="K145" si="200">E145-SUM(G145:J145)</f>
        <v>-2.0000000018626451E-2</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-2.0000000018626451E-2</v>
      </c>
      <c r="Y145" s="1">
        <f t="shared" si="190"/>
        <v>0</v>
      </c>
      <c r="Z145" s="1">
        <f t="shared" si="191"/>
        <v>0</v>
      </c>
      <c r="AA145" s="1">
        <f t="shared" si="192"/>
        <v>-2.0000000018626451E-2</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-2.0000000018626451E-2</v>
      </c>
      <c r="AO145" s="1">
        <f t="shared" si="195"/>
        <v>0</v>
      </c>
      <c r="AP145" s="1">
        <f t="shared" si="196"/>
        <v>0</v>
      </c>
      <c r="AQ145" s="1">
        <f t="shared" si="197"/>
        <v>-2.0000000018626451E-2</v>
      </c>
      <c r="AR145" s="72">
        <f t="shared" si="198"/>
        <v>0</v>
      </c>
    </row>
    <row r="146" spans="1:44" x14ac:dyDescent="0.25">
      <c r="A146" s="118">
        <f t="shared" si="186"/>
        <v>138</v>
      </c>
      <c r="B146" s="79" t="s">
        <v>628</v>
      </c>
      <c r="C146" s="79" t="s">
        <v>629</v>
      </c>
      <c r="D146" s="34"/>
      <c r="E146" s="17">
        <f>SUM(G146:K146)</f>
        <v>652439.02</v>
      </c>
      <c r="F146" s="72">
        <v>100</v>
      </c>
      <c r="G146" s="25">
        <v>158371.99</v>
      </c>
      <c r="H146" s="27">
        <v>24954.18</v>
      </c>
      <c r="I146" s="27">
        <v>136597.42000000001</v>
      </c>
      <c r="J146" s="25">
        <v>0</v>
      </c>
      <c r="K146" s="25">
        <f>9479.33+323036.1</f>
        <v>332515.43</v>
      </c>
      <c r="L146" s="72">
        <f t="shared" si="188"/>
        <v>0</v>
      </c>
      <c r="N146" s="8">
        <v>203</v>
      </c>
      <c r="O146" s="1">
        <f>VLOOKUP($N146,AF!$B$39:$M$80,O$9)*$G146</f>
        <v>36448.533148682764</v>
      </c>
      <c r="P146" s="1">
        <f>VLOOKUP($N146,AF!$B$39:$M$80,P$9)*$G146</f>
        <v>121923.45685131723</v>
      </c>
      <c r="Q146" s="1">
        <f>VLOOKUP($N146,AF!$B$39:$M$80,Q$9)*$H146</f>
        <v>24954.18</v>
      </c>
      <c r="R146" s="1">
        <f>VLOOKUP($N146,AF!$B$39:$M$80,R$9)*$H146</f>
        <v>0</v>
      </c>
      <c r="S146" s="1">
        <f>VLOOKUP($N146,AF!$B$39:$M$80,S$9)*$I146</f>
        <v>136597.42000000001</v>
      </c>
      <c r="T146" s="1">
        <f>VLOOKUP($N146,AF!$B$39:$M$80,T$9)*$I146</f>
        <v>0</v>
      </c>
      <c r="U146" s="1">
        <f>VLOOKUP($N146,AF!$B$39:$M$80,U$9)*$J146</f>
        <v>0</v>
      </c>
      <c r="V146" s="1">
        <f>VLOOKUP($N146,AF!$B$39:$M$80,V$9)*$J146</f>
        <v>0</v>
      </c>
      <c r="W146" s="1">
        <f t="shared" si="189"/>
        <v>332515.43000000005</v>
      </c>
      <c r="Y146" s="1">
        <f t="shared" si="190"/>
        <v>198000.13314868277</v>
      </c>
      <c r="Z146" s="1">
        <f t="shared" si="191"/>
        <v>121923.45685131723</v>
      </c>
      <c r="AA146" s="1">
        <f t="shared" si="192"/>
        <v>652439.02</v>
      </c>
      <c r="AB146" s="72">
        <f t="shared" si="193"/>
        <v>0</v>
      </c>
      <c r="AD146" s="72">
        <v>301</v>
      </c>
      <c r="AE146" s="1">
        <f>VLOOKUP($AD146,AF!$B$39:$M$80,AE$9)*$O146</f>
        <v>3298.5922499557901</v>
      </c>
      <c r="AF146" s="1">
        <f>VLOOKUP($AD146,AF!$B$39:$M$80,AF$9)*$P146</f>
        <v>11034.072845044209</v>
      </c>
      <c r="AG146" s="1">
        <f>VLOOKUP($AD146,AF!$B$39:$M$80,AG$9)*$Q146</f>
        <v>2258.35329</v>
      </c>
      <c r="AH146" s="1">
        <f>VLOOKUP($AD146,AF!$B$39:$M$80,AH$9)*$R146</f>
        <v>0</v>
      </c>
      <c r="AI146" s="1">
        <f>VLOOKUP($AD146,AF!$B$39:$M$80,AI$9)*$S146</f>
        <v>12362.066510000001</v>
      </c>
      <c r="AJ146" s="1">
        <f>VLOOKUP($AD146,AF!$B$39:$M$80,AJ$9)*$T146</f>
        <v>0</v>
      </c>
      <c r="AK146" s="1">
        <f>VLOOKUP($AD146,AF!$B$39:$M$80,AK$9)*$U146</f>
        <v>0</v>
      </c>
      <c r="AL146" s="1">
        <f>VLOOKUP($AD146,AF!$B$39:$M$80,AL$9)*$V146</f>
        <v>0</v>
      </c>
      <c r="AM146" s="1">
        <f t="shared" si="194"/>
        <v>623485.93510500004</v>
      </c>
      <c r="AO146" s="1">
        <f t="shared" si="195"/>
        <v>17919.012049955789</v>
      </c>
      <c r="AP146" s="1">
        <f t="shared" si="196"/>
        <v>11034.072845044209</v>
      </c>
      <c r="AQ146" s="1">
        <f t="shared" si="197"/>
        <v>652439.02</v>
      </c>
      <c r="AR146" s="72">
        <f t="shared" si="198"/>
        <v>0</v>
      </c>
    </row>
    <row r="147" spans="1:44" x14ac:dyDescent="0.25">
      <c r="A147" s="118">
        <f t="shared" si="186"/>
        <v>139</v>
      </c>
      <c r="B147" s="79">
        <v>583</v>
      </c>
      <c r="C147" s="37" t="s">
        <v>306</v>
      </c>
      <c r="D147" s="34" t="s">
        <v>307</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25">
      <c r="A148" s="118">
        <f t="shared" si="186"/>
        <v>140</v>
      </c>
      <c r="B148" s="79" t="s">
        <v>630</v>
      </c>
      <c r="C148" s="79" t="s">
        <v>631</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25">
      <c r="A149" s="118">
        <f t="shared" si="186"/>
        <v>141</v>
      </c>
      <c r="B149" s="79">
        <v>584</v>
      </c>
      <c r="C149" s="37" t="s">
        <v>308</v>
      </c>
      <c r="D149" s="34" t="s">
        <v>309</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25">
      <c r="A150" s="118">
        <f t="shared" si="186"/>
        <v>142</v>
      </c>
      <c r="B150" s="79" t="s">
        <v>632</v>
      </c>
      <c r="C150" s="79" t="s">
        <v>633</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25">
      <c r="A151" s="118">
        <f t="shared" si="186"/>
        <v>143</v>
      </c>
      <c r="B151" s="79">
        <v>585</v>
      </c>
      <c r="C151" s="37" t="s">
        <v>310</v>
      </c>
      <c r="D151" s="34" t="s">
        <v>311</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25">
      <c r="A152" s="118">
        <f t="shared" si="186"/>
        <v>144</v>
      </c>
      <c r="B152" s="57">
        <v>586</v>
      </c>
      <c r="C152" s="34" t="s">
        <v>51</v>
      </c>
      <c r="D152" s="34" t="s">
        <v>52</v>
      </c>
      <c r="E152" s="28">
        <v>0</v>
      </c>
      <c r="F152" s="8">
        <v>101</v>
      </c>
      <c r="G152" s="1">
        <f>VLOOKUP($F152,AF!$B$39:$M$80,G$9)*$E152</f>
        <v>0</v>
      </c>
      <c r="H152" s="1">
        <f>VLOOKUP($F152,AF!$B$39:$M$80,H$9)*$E152</f>
        <v>0</v>
      </c>
      <c r="I152" s="1">
        <f>VLOOKUP($F152,AF!$B$39:$M$80,I$9)*$E152</f>
        <v>0</v>
      </c>
      <c r="J152" s="1">
        <f>VLOOKUP($F152,AF!$B$39:$M$80,J$9)*$E152</f>
        <v>0</v>
      </c>
      <c r="K152" s="1">
        <f t="shared" si="203"/>
        <v>0</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72">
        <f t="shared" si="198"/>
        <v>0</v>
      </c>
    </row>
    <row r="153" spans="1:44" x14ac:dyDescent="0.25">
      <c r="A153" s="118">
        <f t="shared" si="186"/>
        <v>145</v>
      </c>
      <c r="B153" s="57">
        <v>587</v>
      </c>
      <c r="C153" s="34" t="s">
        <v>312</v>
      </c>
      <c r="D153" s="34" t="s">
        <v>313</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25">
      <c r="A154" s="118">
        <f t="shared" si="186"/>
        <v>146</v>
      </c>
      <c r="B154" s="57">
        <v>588</v>
      </c>
      <c r="C154" s="34" t="s">
        <v>314</v>
      </c>
      <c r="D154" s="34" t="s">
        <v>315</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25">
      <c r="A155" s="118">
        <f t="shared" si="186"/>
        <v>147</v>
      </c>
      <c r="B155" s="57">
        <v>589</v>
      </c>
      <c r="C155" s="34" t="s">
        <v>61</v>
      </c>
      <c r="D155" s="34" t="s">
        <v>316</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25">
      <c r="A156" s="118">
        <f t="shared" si="186"/>
        <v>148</v>
      </c>
      <c r="B156" s="57"/>
      <c r="C156" s="34" t="s">
        <v>0</v>
      </c>
      <c r="D156" s="34"/>
      <c r="E156" s="33">
        <f>SUM(E141:E155)</f>
        <v>652439</v>
      </c>
      <c r="F156" s="72"/>
      <c r="G156" s="33">
        <f t="shared" ref="G156:K156" si="205">SUM(G141:G155)</f>
        <v>158371.99</v>
      </c>
      <c r="H156" s="33">
        <f t="shared" si="205"/>
        <v>24954.18</v>
      </c>
      <c r="I156" s="33">
        <f t="shared" si="205"/>
        <v>136597.42000000001</v>
      </c>
      <c r="J156" s="33">
        <f t="shared" si="205"/>
        <v>0</v>
      </c>
      <c r="K156" s="33">
        <f t="shared" si="205"/>
        <v>332515.40999999997</v>
      </c>
      <c r="L156" s="72">
        <f t="shared" si="188"/>
        <v>0</v>
      </c>
      <c r="N156" s="72"/>
      <c r="O156" s="33">
        <f t="shared" ref="O156:W156" si="206">SUM(O141:O155)</f>
        <v>36448.533148682764</v>
      </c>
      <c r="P156" s="33">
        <f t="shared" si="206"/>
        <v>121923.45685131723</v>
      </c>
      <c r="Q156" s="33">
        <f t="shared" si="206"/>
        <v>24954.18</v>
      </c>
      <c r="R156" s="33">
        <f t="shared" si="206"/>
        <v>0</v>
      </c>
      <c r="S156" s="33">
        <f t="shared" si="206"/>
        <v>136597.42000000001</v>
      </c>
      <c r="T156" s="33">
        <f t="shared" si="206"/>
        <v>0</v>
      </c>
      <c r="U156" s="33">
        <f t="shared" si="206"/>
        <v>0</v>
      </c>
      <c r="V156" s="33">
        <f t="shared" si="206"/>
        <v>0</v>
      </c>
      <c r="W156" s="33">
        <f t="shared" si="206"/>
        <v>332515.41000000003</v>
      </c>
      <c r="Y156" s="33">
        <f t="shared" ref="Y156:AA156" si="207">SUM(Y141:Y155)</f>
        <v>198000.13314868277</v>
      </c>
      <c r="Z156" s="33">
        <f t="shared" si="207"/>
        <v>121923.45685131723</v>
      </c>
      <c r="AA156" s="33">
        <f t="shared" si="207"/>
        <v>652439</v>
      </c>
      <c r="AB156" s="72">
        <f t="shared" si="193"/>
        <v>0</v>
      </c>
      <c r="AD156" s="72"/>
      <c r="AE156" s="33">
        <f t="shared" ref="AE156:AM156" si="208">SUM(AE141:AE155)</f>
        <v>3298.5922499557901</v>
      </c>
      <c r="AF156" s="33">
        <f t="shared" si="208"/>
        <v>11034.072845044209</v>
      </c>
      <c r="AG156" s="33">
        <f t="shared" si="208"/>
        <v>2258.35329</v>
      </c>
      <c r="AH156" s="33">
        <f t="shared" si="208"/>
        <v>0</v>
      </c>
      <c r="AI156" s="33">
        <f t="shared" si="208"/>
        <v>12362.066510000001</v>
      </c>
      <c r="AJ156" s="33">
        <f t="shared" si="208"/>
        <v>0</v>
      </c>
      <c r="AK156" s="33">
        <f t="shared" si="208"/>
        <v>0</v>
      </c>
      <c r="AL156" s="33">
        <f t="shared" si="208"/>
        <v>0</v>
      </c>
      <c r="AM156" s="33">
        <f t="shared" si="208"/>
        <v>623485.91510500002</v>
      </c>
      <c r="AO156" s="33">
        <f t="shared" ref="AO156:AQ156" si="209">SUM(AO141:AO155)</f>
        <v>17919.012049955789</v>
      </c>
      <c r="AP156" s="33">
        <f t="shared" si="209"/>
        <v>11034.072845044209</v>
      </c>
      <c r="AQ156" s="33">
        <f t="shared" si="209"/>
        <v>652439</v>
      </c>
      <c r="AR156" s="72">
        <f t="shared" si="198"/>
        <v>0</v>
      </c>
    </row>
    <row r="157" spans="1:44" x14ac:dyDescent="0.25">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25">
      <c r="A158" s="118">
        <f t="shared" si="186"/>
        <v>150</v>
      </c>
      <c r="B158" s="35" t="s">
        <v>317</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25">
      <c r="A159" s="118">
        <f t="shared" si="186"/>
        <v>151</v>
      </c>
      <c r="B159" s="79">
        <v>590</v>
      </c>
      <c r="C159" s="37" t="s">
        <v>268</v>
      </c>
      <c r="D159" s="34" t="s">
        <v>318</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25">
      <c r="A160" s="118">
        <f t="shared" si="186"/>
        <v>152</v>
      </c>
      <c r="B160" s="79" t="s">
        <v>634</v>
      </c>
      <c r="C160" s="79" t="s">
        <v>607</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25">
      <c r="A161" s="118">
        <f t="shared" si="186"/>
        <v>153</v>
      </c>
      <c r="B161" s="79">
        <v>591</v>
      </c>
      <c r="C161" s="37" t="s">
        <v>270</v>
      </c>
      <c r="D161" s="34" t="s">
        <v>319</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25">
      <c r="A162" s="118">
        <f t="shared" si="186"/>
        <v>154</v>
      </c>
      <c r="B162" s="79" t="s">
        <v>635</v>
      </c>
      <c r="C162" s="79" t="s">
        <v>609</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25">
      <c r="A163" s="118">
        <f t="shared" si="186"/>
        <v>155</v>
      </c>
      <c r="B163" s="79">
        <v>592</v>
      </c>
      <c r="C163" s="37" t="s">
        <v>320</v>
      </c>
      <c r="D163" s="34" t="s">
        <v>321</v>
      </c>
      <c r="E163" s="25">
        <f>1392547-E164</f>
        <v>2.9999999795109034E-2</v>
      </c>
      <c r="F163" s="72">
        <f>+F145</f>
        <v>101</v>
      </c>
      <c r="G163" s="1">
        <f>VLOOKUP($F163,AF!$B$39:$M$80,G$9)*$E163</f>
        <v>0</v>
      </c>
      <c r="H163" s="1">
        <f>VLOOKUP($F163,AF!$B$39:$M$80,H$9)*$E163</f>
        <v>0</v>
      </c>
      <c r="I163" s="1">
        <f>VLOOKUP($F163,AF!$B$39:$M$80,I$9)*$E163</f>
        <v>0</v>
      </c>
      <c r="J163" s="1">
        <f>VLOOKUP($F163,AF!$B$39:$M$80,J$9)*$E163</f>
        <v>0</v>
      </c>
      <c r="K163" s="1">
        <f t="shared" ref="K163" si="223">E163-SUM(G163:J163)</f>
        <v>2.9999999795109034E-2</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2.9999999795109034E-2</v>
      </c>
      <c r="Y163" s="1">
        <f t="shared" si="213"/>
        <v>0</v>
      </c>
      <c r="Z163" s="1">
        <f t="shared" si="214"/>
        <v>0</v>
      </c>
      <c r="AA163" s="1">
        <f t="shared" si="215"/>
        <v>2.9999999795109034E-2</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2.9999999795109034E-2</v>
      </c>
      <c r="AO163" s="1">
        <f t="shared" si="218"/>
        <v>0</v>
      </c>
      <c r="AP163" s="1">
        <f t="shared" si="219"/>
        <v>0</v>
      </c>
      <c r="AQ163" s="1">
        <f t="shared" si="220"/>
        <v>2.9999999795109034E-2</v>
      </c>
      <c r="AR163" s="72">
        <f t="shared" si="221"/>
        <v>0</v>
      </c>
    </row>
    <row r="164" spans="1:44" x14ac:dyDescent="0.25">
      <c r="A164" s="118">
        <f t="shared" si="186"/>
        <v>156</v>
      </c>
      <c r="B164" s="79" t="s">
        <v>636</v>
      </c>
      <c r="C164" s="79" t="s">
        <v>637</v>
      </c>
      <c r="D164" s="34"/>
      <c r="E164" s="17">
        <f>SUM(G164:K164)</f>
        <v>1392546.9700000002</v>
      </c>
      <c r="F164" s="72">
        <v>100</v>
      </c>
      <c r="G164" s="25">
        <v>64037.58</v>
      </c>
      <c r="H164" s="25">
        <v>20176.04</v>
      </c>
      <c r="I164" s="25">
        <v>1324819.25</v>
      </c>
      <c r="J164" s="25">
        <v>0</v>
      </c>
      <c r="K164" s="25">
        <v>-16485.900000000001</v>
      </c>
      <c r="L164" s="72">
        <f t="shared" si="211"/>
        <v>0</v>
      </c>
      <c r="N164" s="8">
        <v>203</v>
      </c>
      <c r="O164" s="1">
        <f>VLOOKUP($N164,AF!$B$39:$M$80,O$9)*$G164</f>
        <v>14737.933503212433</v>
      </c>
      <c r="P164" s="1">
        <f>VLOOKUP($N164,AF!$B$39:$M$80,P$9)*$G164</f>
        <v>49299.646496787565</v>
      </c>
      <c r="Q164" s="1">
        <f>VLOOKUP($N164,AF!$B$39:$M$80,Q$9)*$H164</f>
        <v>20176.04</v>
      </c>
      <c r="R164" s="1">
        <f>VLOOKUP($N164,AF!$B$39:$M$80,R$9)*$H164</f>
        <v>0</v>
      </c>
      <c r="S164" s="1">
        <f>VLOOKUP($N164,AF!$B$39:$M$80,S$9)*$I164</f>
        <v>1324819.25</v>
      </c>
      <c r="T164" s="1">
        <f>VLOOKUP($N164,AF!$B$39:$M$80,T$9)*$I164</f>
        <v>0</v>
      </c>
      <c r="U164" s="1">
        <f>VLOOKUP($N164,AF!$B$39:$M$80,U$9)*$J164</f>
        <v>0</v>
      </c>
      <c r="V164" s="1">
        <f>VLOOKUP($N164,AF!$B$39:$M$80,V$9)*$J164</f>
        <v>0</v>
      </c>
      <c r="W164" s="1">
        <f t="shared" si="212"/>
        <v>-16485.899999999907</v>
      </c>
      <c r="Y164" s="1">
        <f t="shared" si="213"/>
        <v>1359733.2235032124</v>
      </c>
      <c r="Z164" s="1">
        <f t="shared" si="214"/>
        <v>49299.646496787565</v>
      </c>
      <c r="AA164" s="1">
        <f t="shared" si="215"/>
        <v>1392546.9700000002</v>
      </c>
      <c r="AB164" s="72">
        <f t="shared" si="216"/>
        <v>0</v>
      </c>
      <c r="AD164" s="72">
        <v>301</v>
      </c>
      <c r="AE164" s="1">
        <f>VLOOKUP($AD164,AF!$B$39:$M$80,AE$9)*$O164</f>
        <v>1333.7829820407251</v>
      </c>
      <c r="AF164" s="1">
        <f>VLOOKUP($AD164,AF!$B$39:$M$80,AF$9)*$P164</f>
        <v>4461.6180079592741</v>
      </c>
      <c r="AG164" s="1">
        <f>VLOOKUP($AD164,AF!$B$39:$M$80,AG$9)*$Q164</f>
        <v>1825.9316200000001</v>
      </c>
      <c r="AH164" s="1">
        <f>VLOOKUP($AD164,AF!$B$39:$M$80,AH$9)*$R164</f>
        <v>0</v>
      </c>
      <c r="AI164" s="1">
        <f>VLOOKUP($AD164,AF!$B$39:$M$80,AI$9)*$S164</f>
        <v>119896.142125</v>
      </c>
      <c r="AJ164" s="1">
        <f>VLOOKUP($AD164,AF!$B$39:$M$80,AJ$9)*$T164</f>
        <v>0</v>
      </c>
      <c r="AK164" s="1">
        <f>VLOOKUP($AD164,AF!$B$39:$M$80,AK$9)*$U164</f>
        <v>0</v>
      </c>
      <c r="AL164" s="1">
        <f>VLOOKUP($AD164,AF!$B$39:$M$80,AL$9)*$V164</f>
        <v>0</v>
      </c>
      <c r="AM164" s="1">
        <f t="shared" si="217"/>
        <v>1265029.4952650003</v>
      </c>
      <c r="AO164" s="1">
        <f t="shared" si="218"/>
        <v>123055.85672704072</v>
      </c>
      <c r="AP164" s="1">
        <f t="shared" si="219"/>
        <v>4461.6180079592741</v>
      </c>
      <c r="AQ164" s="1">
        <f t="shared" si="220"/>
        <v>1392546.9700000002</v>
      </c>
      <c r="AR164" s="72">
        <f t="shared" si="221"/>
        <v>0</v>
      </c>
    </row>
    <row r="165" spans="1:44" x14ac:dyDescent="0.25">
      <c r="A165" s="118">
        <f t="shared" si="186"/>
        <v>157</v>
      </c>
      <c r="B165" s="79">
        <v>593</v>
      </c>
      <c r="C165" s="37" t="s">
        <v>322</v>
      </c>
      <c r="D165" s="34" t="s">
        <v>323</v>
      </c>
      <c r="E165" s="25">
        <f>0-E166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25">
      <c r="A166" s="118">
        <f t="shared" si="186"/>
        <v>158</v>
      </c>
      <c r="B166" s="79" t="s">
        <v>638</v>
      </c>
      <c r="C166" s="79" t="s">
        <v>639</v>
      </c>
      <c r="D166" s="34"/>
      <c r="E166" s="17">
        <f>SUM(G166:K166)</f>
        <v>0</v>
      </c>
      <c r="F166" s="72">
        <v>100</v>
      </c>
      <c r="G166" s="25">
        <v>0</v>
      </c>
      <c r="H166" s="25">
        <v>0</v>
      </c>
      <c r="I166" s="25">
        <v>0</v>
      </c>
      <c r="J166" s="25">
        <v>0</v>
      </c>
      <c r="K166" s="25">
        <v>0</v>
      </c>
      <c r="L166" s="72">
        <f t="shared" si="211"/>
        <v>0</v>
      </c>
      <c r="N166" s="8">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72">
        <f t="shared" si="221"/>
        <v>0</v>
      </c>
    </row>
    <row r="167" spans="1:44" x14ac:dyDescent="0.25">
      <c r="A167" s="118">
        <f t="shared" si="186"/>
        <v>159</v>
      </c>
      <c r="B167" s="79">
        <v>594</v>
      </c>
      <c r="C167" s="37" t="s">
        <v>298</v>
      </c>
      <c r="D167" s="34" t="s">
        <v>324</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25">
      <c r="A168" s="118">
        <f t="shared" si="186"/>
        <v>160</v>
      </c>
      <c r="B168" s="79" t="s">
        <v>640</v>
      </c>
      <c r="C168" s="79" t="s">
        <v>621</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25">
      <c r="A169" s="118">
        <f t="shared" si="186"/>
        <v>161</v>
      </c>
      <c r="B169" s="79">
        <v>595</v>
      </c>
      <c r="C169" s="37" t="s">
        <v>325</v>
      </c>
      <c r="D169" s="34" t="s">
        <v>326</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25">
      <c r="A170" s="118">
        <f t="shared" si="186"/>
        <v>162</v>
      </c>
      <c r="B170" s="79" t="s">
        <v>641</v>
      </c>
      <c r="C170" s="79" t="s">
        <v>642</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25">
      <c r="A171" s="118">
        <f t="shared" si="186"/>
        <v>163</v>
      </c>
      <c r="B171" s="57">
        <v>596</v>
      </c>
      <c r="C171" s="34" t="s">
        <v>327</v>
      </c>
      <c r="D171" s="34" t="s">
        <v>328</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25">
      <c r="A172" s="118">
        <f t="shared" si="186"/>
        <v>164</v>
      </c>
      <c r="B172" s="57">
        <v>597</v>
      </c>
      <c r="C172" s="34" t="s">
        <v>329</v>
      </c>
      <c r="D172" s="34" t="s">
        <v>330</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25">
      <c r="A173" s="118">
        <f t="shared" si="186"/>
        <v>165</v>
      </c>
      <c r="B173" s="57">
        <v>598</v>
      </c>
      <c r="C173" s="34" t="s">
        <v>331</v>
      </c>
      <c r="D173" s="34" t="s">
        <v>332</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25">
      <c r="A174" s="118">
        <f t="shared" si="186"/>
        <v>166</v>
      </c>
      <c r="B174" s="34"/>
      <c r="C174" s="34" t="s">
        <v>0</v>
      </c>
      <c r="D174" s="34"/>
      <c r="E174" s="33">
        <f>SUM(E159:E173)</f>
        <v>1392547</v>
      </c>
      <c r="F174" s="72"/>
      <c r="G174" s="33">
        <f t="shared" ref="G174:K174" si="228">SUM(G159:G173)</f>
        <v>64037.58</v>
      </c>
      <c r="H174" s="33">
        <f t="shared" si="228"/>
        <v>20176.04</v>
      </c>
      <c r="I174" s="33">
        <f t="shared" si="228"/>
        <v>1324819.25</v>
      </c>
      <c r="J174" s="33">
        <f t="shared" si="228"/>
        <v>0</v>
      </c>
      <c r="K174" s="33">
        <f t="shared" si="228"/>
        <v>-16485.870000000206</v>
      </c>
      <c r="L174" s="72">
        <f t="shared" si="211"/>
        <v>0</v>
      </c>
      <c r="N174" s="72"/>
      <c r="O174" s="33">
        <f t="shared" ref="O174:W174" si="229">SUM(O159:O173)</f>
        <v>14737.933503212433</v>
      </c>
      <c r="P174" s="33">
        <f t="shared" si="229"/>
        <v>49299.646496787565</v>
      </c>
      <c r="Q174" s="33">
        <f t="shared" si="229"/>
        <v>20176.04</v>
      </c>
      <c r="R174" s="33">
        <f t="shared" si="229"/>
        <v>0</v>
      </c>
      <c r="S174" s="33">
        <f t="shared" si="229"/>
        <v>1324819.25</v>
      </c>
      <c r="T174" s="33">
        <f t="shared" si="229"/>
        <v>0</v>
      </c>
      <c r="U174" s="33">
        <f t="shared" si="229"/>
        <v>0</v>
      </c>
      <c r="V174" s="33">
        <f t="shared" si="229"/>
        <v>0</v>
      </c>
      <c r="W174" s="33">
        <f t="shared" si="229"/>
        <v>-16485.870000000112</v>
      </c>
      <c r="Y174" s="33">
        <f t="shared" ref="Y174:AA174" si="230">SUM(Y159:Y173)</f>
        <v>1359733.2235032124</v>
      </c>
      <c r="Z174" s="33">
        <f t="shared" si="230"/>
        <v>49299.646496787565</v>
      </c>
      <c r="AA174" s="33">
        <f t="shared" si="230"/>
        <v>1392547</v>
      </c>
      <c r="AB174" s="72">
        <f t="shared" si="216"/>
        <v>0</v>
      </c>
      <c r="AD174" s="72"/>
      <c r="AE174" s="33">
        <f t="shared" ref="AE174:AM174" si="231">SUM(AE159:AE173)</f>
        <v>1333.7829820407251</v>
      </c>
      <c r="AF174" s="33">
        <f t="shared" si="231"/>
        <v>4461.6180079592741</v>
      </c>
      <c r="AG174" s="33">
        <f t="shared" si="231"/>
        <v>1825.9316200000001</v>
      </c>
      <c r="AH174" s="33">
        <f t="shared" si="231"/>
        <v>0</v>
      </c>
      <c r="AI174" s="33">
        <f t="shared" si="231"/>
        <v>119896.142125</v>
      </c>
      <c r="AJ174" s="33">
        <f t="shared" si="231"/>
        <v>0</v>
      </c>
      <c r="AK174" s="33">
        <f t="shared" si="231"/>
        <v>0</v>
      </c>
      <c r="AL174" s="33">
        <f t="shared" si="231"/>
        <v>0</v>
      </c>
      <c r="AM174" s="33">
        <f t="shared" si="231"/>
        <v>1265029.5252650001</v>
      </c>
      <c r="AO174" s="33">
        <f t="shared" ref="AO174:AQ174" si="232">SUM(AO159:AO173)</f>
        <v>123055.85672704072</v>
      </c>
      <c r="AP174" s="33">
        <f t="shared" si="232"/>
        <v>4461.6180079592741</v>
      </c>
      <c r="AQ174" s="33">
        <f t="shared" si="232"/>
        <v>1392547</v>
      </c>
      <c r="AR174" s="72">
        <f t="shared" si="221"/>
        <v>0</v>
      </c>
    </row>
    <row r="175" spans="1:44" x14ac:dyDescent="0.25">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5.75" thickBot="1" x14ac:dyDescent="0.3">
      <c r="A176" s="118">
        <f t="shared" si="186"/>
        <v>168</v>
      </c>
      <c r="B176" s="34" t="s">
        <v>403</v>
      </c>
      <c r="C176" s="34"/>
      <c r="D176" s="34"/>
      <c r="E176" s="62">
        <f>+E156+E174</f>
        <v>2044986</v>
      </c>
      <c r="F176" s="72"/>
      <c r="G176" s="62">
        <f t="shared" ref="G176:K176" si="233">+G156+G174</f>
        <v>222409.57</v>
      </c>
      <c r="H176" s="62">
        <f t="shared" si="233"/>
        <v>45130.22</v>
      </c>
      <c r="I176" s="62">
        <f t="shared" si="233"/>
        <v>1461416.67</v>
      </c>
      <c r="J176" s="62">
        <f t="shared" si="233"/>
        <v>0</v>
      </c>
      <c r="K176" s="62">
        <f t="shared" si="233"/>
        <v>316029.53999999975</v>
      </c>
      <c r="L176" s="72"/>
      <c r="N176" s="72"/>
      <c r="O176" s="62">
        <f t="shared" ref="O176:W176" si="234">+O156+O174</f>
        <v>51186.4666518952</v>
      </c>
      <c r="P176" s="62">
        <f t="shared" si="234"/>
        <v>171223.10334810481</v>
      </c>
      <c r="Q176" s="62">
        <f t="shared" si="234"/>
        <v>45130.22</v>
      </c>
      <c r="R176" s="62">
        <f t="shared" si="234"/>
        <v>0</v>
      </c>
      <c r="S176" s="62">
        <f t="shared" si="234"/>
        <v>1461416.67</v>
      </c>
      <c r="T176" s="62">
        <f t="shared" si="234"/>
        <v>0</v>
      </c>
      <c r="U176" s="62">
        <f t="shared" si="234"/>
        <v>0</v>
      </c>
      <c r="V176" s="62">
        <f t="shared" si="234"/>
        <v>0</v>
      </c>
      <c r="W176" s="62">
        <f t="shared" si="234"/>
        <v>316029.53999999992</v>
      </c>
      <c r="Y176" s="62">
        <f t="shared" ref="Y176:AA176" si="235">+Y156+Y174</f>
        <v>1557733.3566518952</v>
      </c>
      <c r="Z176" s="62">
        <f t="shared" si="235"/>
        <v>171223.10334810481</v>
      </c>
      <c r="AA176" s="62">
        <f t="shared" si="235"/>
        <v>2044986</v>
      </c>
      <c r="AB176" s="72">
        <f t="shared" si="216"/>
        <v>0</v>
      </c>
      <c r="AD176" s="72"/>
      <c r="AE176" s="62">
        <f t="shared" ref="AE176:AM176" si="236">+AE156+AE174</f>
        <v>4632.3752319965151</v>
      </c>
      <c r="AF176" s="62">
        <f t="shared" si="236"/>
        <v>15495.690853003483</v>
      </c>
      <c r="AG176" s="62">
        <f t="shared" si="236"/>
        <v>4084.2849100000003</v>
      </c>
      <c r="AH176" s="62">
        <f t="shared" si="236"/>
        <v>0</v>
      </c>
      <c r="AI176" s="62">
        <f t="shared" si="236"/>
        <v>132258.20863499999</v>
      </c>
      <c r="AJ176" s="62">
        <f t="shared" si="236"/>
        <v>0</v>
      </c>
      <c r="AK176" s="62">
        <f t="shared" si="236"/>
        <v>0</v>
      </c>
      <c r="AL176" s="62">
        <f t="shared" si="236"/>
        <v>0</v>
      </c>
      <c r="AM176" s="62">
        <f t="shared" si="236"/>
        <v>1888515.44037</v>
      </c>
      <c r="AO176" s="62">
        <f t="shared" ref="AO176:AQ176" si="237">+AO156+AO174</f>
        <v>140974.8687769965</v>
      </c>
      <c r="AP176" s="62">
        <f t="shared" si="237"/>
        <v>15495.690853003483</v>
      </c>
      <c r="AQ176" s="62">
        <f t="shared" si="237"/>
        <v>2044986</v>
      </c>
      <c r="AR176" s="72">
        <f t="shared" si="221"/>
        <v>0</v>
      </c>
    </row>
    <row r="177" spans="1:44" ht="15.75" thickTop="1" x14ac:dyDescent="0.25">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25">
      <c r="A178" s="118">
        <f t="shared" si="186"/>
        <v>170</v>
      </c>
      <c r="B178" s="35" t="s">
        <v>333</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25">
      <c r="A179" s="118">
        <f t="shared" si="186"/>
        <v>171</v>
      </c>
      <c r="B179" s="79">
        <v>901</v>
      </c>
      <c r="C179" s="37" t="s">
        <v>334</v>
      </c>
      <c r="D179" s="34" t="s">
        <v>335</v>
      </c>
      <c r="E179" s="25">
        <v>141241</v>
      </c>
      <c r="F179" s="8">
        <v>101</v>
      </c>
      <c r="G179" s="1">
        <f>VLOOKUP($F179,AF!$B$39:$M$80,G$9)*$E179</f>
        <v>0</v>
      </c>
      <c r="H179" s="1">
        <f>VLOOKUP($F179,AF!$B$39:$M$80,H$9)*$E179</f>
        <v>0</v>
      </c>
      <c r="I179" s="1">
        <f>VLOOKUP($F179,AF!$B$39:$M$80,I$9)*$E179</f>
        <v>0</v>
      </c>
      <c r="J179" s="1">
        <f>VLOOKUP($F179,AF!$B$39:$M$80,J$9)*$E179</f>
        <v>0</v>
      </c>
      <c r="K179" s="1">
        <f t="shared" ref="K179:K183" si="238">E179-SUM(G179:J179)</f>
        <v>141241</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141241</v>
      </c>
      <c r="Y179" s="1">
        <f t="shared" ref="Y179:Z183" si="241">+O179+Q179+S179+U179</f>
        <v>0</v>
      </c>
      <c r="Z179" s="1">
        <f t="shared" si="241"/>
        <v>0</v>
      </c>
      <c r="AA179" s="1">
        <f t="shared" ref="AA179:AA183" si="242">+Z179+Y179+W179</f>
        <v>141241</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141241</v>
      </c>
      <c r="AO179" s="1">
        <f t="shared" ref="AO179:AP183" si="245">+AE179+AG179+AI179+AK179</f>
        <v>0</v>
      </c>
      <c r="AP179" s="1">
        <f t="shared" si="245"/>
        <v>0</v>
      </c>
      <c r="AQ179" s="1">
        <f t="shared" ref="AQ179:AQ183" si="246">+AP179+AO179+AM179</f>
        <v>141241</v>
      </c>
      <c r="AR179" s="72">
        <f t="shared" ref="AR179:AR184" si="247">$E179-AQ179</f>
        <v>0</v>
      </c>
    </row>
    <row r="180" spans="1:44" x14ac:dyDescent="0.25">
      <c r="A180" s="118">
        <f t="shared" si="186"/>
        <v>172</v>
      </c>
      <c r="B180" s="57">
        <v>902</v>
      </c>
      <c r="C180" s="34" t="s">
        <v>336</v>
      </c>
      <c r="D180" s="34" t="s">
        <v>337</v>
      </c>
      <c r="E180" s="25">
        <v>0</v>
      </c>
      <c r="F180" s="8">
        <v>101</v>
      </c>
      <c r="G180" s="1">
        <f>VLOOKUP($F180,AF!$B$39:$M$80,G$9)*$E180</f>
        <v>0</v>
      </c>
      <c r="H180" s="1">
        <f>VLOOKUP($F180,AF!$B$39:$M$80,H$9)*$E180</f>
        <v>0</v>
      </c>
      <c r="I180" s="1">
        <f>VLOOKUP($F180,AF!$B$39:$M$80,I$9)*$E180</f>
        <v>0</v>
      </c>
      <c r="J180" s="1">
        <f>VLOOKUP($F180,AF!$B$39:$M$80,J$9)*$E180</f>
        <v>0</v>
      </c>
      <c r="K180" s="1">
        <f t="shared" si="238"/>
        <v>0</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72">
        <f t="shared" si="247"/>
        <v>0</v>
      </c>
    </row>
    <row r="181" spans="1:44" x14ac:dyDescent="0.25">
      <c r="A181" s="118">
        <f t="shared" si="186"/>
        <v>173</v>
      </c>
      <c r="B181" s="57">
        <v>903</v>
      </c>
      <c r="C181" s="34" t="s">
        <v>338</v>
      </c>
      <c r="D181" s="34" t="s">
        <v>339</v>
      </c>
      <c r="E181" s="25">
        <v>888240</v>
      </c>
      <c r="F181" s="8">
        <v>101</v>
      </c>
      <c r="G181" s="1">
        <f>VLOOKUP($F181,AF!$B$39:$M$80,G$9)*$E181</f>
        <v>0</v>
      </c>
      <c r="H181" s="1">
        <f>VLOOKUP($F181,AF!$B$39:$M$80,H$9)*$E181</f>
        <v>0</v>
      </c>
      <c r="I181" s="1">
        <f>VLOOKUP($F181,AF!$B$39:$M$80,I$9)*$E181</f>
        <v>0</v>
      </c>
      <c r="J181" s="1">
        <f>VLOOKUP($F181,AF!$B$39:$M$80,J$9)*$E181</f>
        <v>0</v>
      </c>
      <c r="K181" s="1">
        <f t="shared" si="238"/>
        <v>888240</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888240</v>
      </c>
      <c r="Y181" s="1">
        <f t="shared" si="241"/>
        <v>0</v>
      </c>
      <c r="Z181" s="1">
        <f t="shared" si="241"/>
        <v>0</v>
      </c>
      <c r="AA181" s="1">
        <f t="shared" si="242"/>
        <v>888240</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888240</v>
      </c>
      <c r="AO181" s="1">
        <f t="shared" si="245"/>
        <v>0</v>
      </c>
      <c r="AP181" s="1">
        <f t="shared" si="245"/>
        <v>0</v>
      </c>
      <c r="AQ181" s="1">
        <f t="shared" si="246"/>
        <v>888240</v>
      </c>
      <c r="AR181" s="72">
        <f t="shared" si="247"/>
        <v>0</v>
      </c>
    </row>
    <row r="182" spans="1:44" x14ac:dyDescent="0.25">
      <c r="A182" s="118">
        <f t="shared" si="186"/>
        <v>174</v>
      </c>
      <c r="B182" s="57">
        <v>904</v>
      </c>
      <c r="C182" s="34" t="s">
        <v>340</v>
      </c>
      <c r="D182" s="34" t="s">
        <v>341</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25">
      <c r="A183" s="118">
        <f t="shared" si="186"/>
        <v>175</v>
      </c>
      <c r="B183" s="57">
        <v>905</v>
      </c>
      <c r="C183" s="34" t="s">
        <v>342</v>
      </c>
      <c r="D183" s="34" t="s">
        <v>343</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25">
      <c r="A184" s="118">
        <f t="shared" si="186"/>
        <v>176</v>
      </c>
      <c r="B184" s="34"/>
      <c r="C184" s="34" t="s">
        <v>0</v>
      </c>
      <c r="D184" s="34"/>
      <c r="E184" s="33">
        <f>SUM(E179:E183)</f>
        <v>1029481</v>
      </c>
      <c r="F184" s="74"/>
      <c r="G184" s="33">
        <f t="shared" ref="G184:K184" si="248">SUM(G179:G183)</f>
        <v>0</v>
      </c>
      <c r="H184" s="33">
        <f t="shared" si="248"/>
        <v>0</v>
      </c>
      <c r="I184" s="33">
        <f t="shared" si="248"/>
        <v>0</v>
      </c>
      <c r="J184" s="33">
        <f t="shared" si="248"/>
        <v>0</v>
      </c>
      <c r="K184" s="33">
        <f t="shared" si="248"/>
        <v>1029481</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1029481</v>
      </c>
      <c r="Y184" s="33">
        <f t="shared" ref="Y184:AA184" si="254">SUM(Y179:Y183)</f>
        <v>0</v>
      </c>
      <c r="Z184" s="33">
        <f t="shared" si="254"/>
        <v>0</v>
      </c>
      <c r="AA184" s="33">
        <f t="shared" si="254"/>
        <v>1029481</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1029481</v>
      </c>
      <c r="AO184" s="33">
        <f t="shared" ref="AO184:AQ184" si="264">SUM(AO179:AO183)</f>
        <v>0</v>
      </c>
      <c r="AP184" s="33">
        <f t="shared" si="264"/>
        <v>0</v>
      </c>
      <c r="AQ184" s="33">
        <f t="shared" si="264"/>
        <v>1029481</v>
      </c>
      <c r="AR184" s="72">
        <f t="shared" si="247"/>
        <v>0</v>
      </c>
    </row>
    <row r="185" spans="1:44" x14ac:dyDescent="0.25">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25">
      <c r="A186" s="118">
        <f t="shared" si="186"/>
        <v>178</v>
      </c>
      <c r="B186" s="35" t="s">
        <v>344</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25">
      <c r="A187" s="118">
        <f t="shared" si="186"/>
        <v>179</v>
      </c>
      <c r="B187" s="57">
        <v>907</v>
      </c>
      <c r="C187" s="34" t="s">
        <v>334</v>
      </c>
      <c r="D187" s="34" t="s">
        <v>345</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25">
      <c r="A188" s="118">
        <f t="shared" si="186"/>
        <v>180</v>
      </c>
      <c r="B188" s="57">
        <v>908</v>
      </c>
      <c r="C188" s="34" t="s">
        <v>336</v>
      </c>
      <c r="D188" s="34" t="s">
        <v>346</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25">
      <c r="A189" s="118">
        <f t="shared" si="186"/>
        <v>181</v>
      </c>
      <c r="B189" s="57">
        <v>909</v>
      </c>
      <c r="C189" s="34" t="s">
        <v>338</v>
      </c>
      <c r="D189" s="34" t="s">
        <v>347</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25">
      <c r="A190" s="118">
        <f t="shared" si="186"/>
        <v>182</v>
      </c>
      <c r="B190" s="57">
        <v>910</v>
      </c>
      <c r="C190" s="34" t="s">
        <v>340</v>
      </c>
      <c r="D190" s="34" t="s">
        <v>348</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25">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25">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25">
      <c r="A193" s="118">
        <f t="shared" si="186"/>
        <v>185</v>
      </c>
      <c r="B193" s="35" t="s">
        <v>408</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25">
      <c r="A194" s="118">
        <f t="shared" si="186"/>
        <v>186</v>
      </c>
      <c r="B194" s="79">
        <v>911</v>
      </c>
      <c r="C194" s="37" t="s">
        <v>334</v>
      </c>
      <c r="D194" s="34" t="s">
        <v>349</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25">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25">
      <c r="A196" s="118">
        <f t="shared" si="186"/>
        <v>188</v>
      </c>
      <c r="B196" s="57">
        <v>913</v>
      </c>
      <c r="C196" s="34" t="s">
        <v>350</v>
      </c>
      <c r="D196" s="34" t="s">
        <v>351</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25">
      <c r="A197" s="118">
        <f t="shared" si="186"/>
        <v>189</v>
      </c>
      <c r="B197" s="57">
        <v>916</v>
      </c>
      <c r="C197" s="34" t="s">
        <v>352</v>
      </c>
      <c r="D197" s="34" t="s">
        <v>353</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25">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25">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25">
      <c r="A200" s="118">
        <f t="shared" si="186"/>
        <v>192</v>
      </c>
      <c r="B200" s="35" t="s">
        <v>410</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25">
      <c r="A201" s="118">
        <f t="shared" si="186"/>
        <v>193</v>
      </c>
      <c r="B201" s="57">
        <v>920</v>
      </c>
      <c r="C201" s="34" t="s">
        <v>56</v>
      </c>
      <c r="D201" s="34" t="s">
        <v>62</v>
      </c>
      <c r="E201" s="25">
        <v>6936512</v>
      </c>
      <c r="F201" s="8">
        <v>101</v>
      </c>
      <c r="G201" s="1">
        <f>VLOOKUP($F201,AF!$B$39:$M$80,G$9)*$E201</f>
        <v>0</v>
      </c>
      <c r="H201" s="1">
        <f>VLOOKUP($F201,AF!$B$39:$M$80,H$9)*$E201</f>
        <v>0</v>
      </c>
      <c r="I201" s="1">
        <f>VLOOKUP($F201,AF!$B$39:$M$80,I$9)*$E201</f>
        <v>0</v>
      </c>
      <c r="J201" s="1">
        <f>VLOOKUP($F201,AF!$B$39:$M$80,J$9)*$E201</f>
        <v>0</v>
      </c>
      <c r="K201" s="1">
        <f t="shared" ref="K201:K205" si="303">E201-SUM(G201:J201)</f>
        <v>6936512</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6936512</v>
      </c>
      <c r="Y201" s="1">
        <f t="shared" ref="Y201:Y214" si="306">+O201+Q201+S201+U201</f>
        <v>0</v>
      </c>
      <c r="Z201" s="1">
        <f t="shared" ref="Z201:Z214" si="307">+P201+R201+T201+V201</f>
        <v>0</v>
      </c>
      <c r="AA201" s="1">
        <f t="shared" ref="AA201:AA214" si="308">+Z201+Y201+W201</f>
        <v>6936512</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6936512</v>
      </c>
      <c r="AO201" s="1">
        <f t="shared" ref="AO201:AO214" si="311">+AE201+AG201+AI201+AK201</f>
        <v>0</v>
      </c>
      <c r="AP201" s="1">
        <f t="shared" ref="AP201:AP214" si="312">+AF201+AH201+AJ201+AL201</f>
        <v>0</v>
      </c>
      <c r="AQ201" s="1">
        <f t="shared" ref="AQ201:AQ214" si="313">+AP201+AO201+AM201</f>
        <v>6936512</v>
      </c>
      <c r="AR201" s="72">
        <f t="shared" ref="AR201:AR215" si="314">$E201-AQ201</f>
        <v>0</v>
      </c>
    </row>
    <row r="202" spans="1:44" x14ac:dyDescent="0.25">
      <c r="A202" s="118">
        <f t="shared" si="186"/>
        <v>194</v>
      </c>
      <c r="B202" s="57">
        <v>921</v>
      </c>
      <c r="C202" s="34" t="s">
        <v>250</v>
      </c>
      <c r="D202" s="34" t="s">
        <v>63</v>
      </c>
      <c r="E202" s="25">
        <v>1624002</v>
      </c>
      <c r="F202" s="8">
        <v>101</v>
      </c>
      <c r="G202" s="1">
        <f>VLOOKUP($F202,AF!$B$39:$M$80,G$9)*$E202</f>
        <v>0</v>
      </c>
      <c r="H202" s="1">
        <f>VLOOKUP($F202,AF!$B$39:$M$80,H$9)*$E202</f>
        <v>0</v>
      </c>
      <c r="I202" s="1">
        <f>VLOOKUP($F202,AF!$B$39:$M$80,I$9)*$E202</f>
        <v>0</v>
      </c>
      <c r="J202" s="1">
        <f>VLOOKUP($F202,AF!$B$39:$M$80,J$9)*$E202</f>
        <v>0</v>
      </c>
      <c r="K202" s="1">
        <f t="shared" si="303"/>
        <v>1624002</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1624002</v>
      </c>
      <c r="Y202" s="1">
        <f t="shared" si="306"/>
        <v>0</v>
      </c>
      <c r="Z202" s="1">
        <f t="shared" si="307"/>
        <v>0</v>
      </c>
      <c r="AA202" s="1">
        <f t="shared" si="308"/>
        <v>1624002</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1624002</v>
      </c>
      <c r="AO202" s="1">
        <f t="shared" si="311"/>
        <v>0</v>
      </c>
      <c r="AP202" s="1">
        <f t="shared" si="312"/>
        <v>0</v>
      </c>
      <c r="AQ202" s="1">
        <f t="shared" si="313"/>
        <v>1624002</v>
      </c>
      <c r="AR202" s="72">
        <f t="shared" si="314"/>
        <v>0</v>
      </c>
    </row>
    <row r="203" spans="1:44" x14ac:dyDescent="0.25">
      <c r="A203" s="118">
        <f t="shared" ref="A203:A269" si="315">+A202+1</f>
        <v>195</v>
      </c>
      <c r="B203" s="57">
        <v>922</v>
      </c>
      <c r="C203" s="34" t="s">
        <v>57</v>
      </c>
      <c r="D203" s="34" t="s">
        <v>64</v>
      </c>
      <c r="E203" s="25">
        <v>0</v>
      </c>
      <c r="F203" s="8">
        <v>101</v>
      </c>
      <c r="G203" s="1">
        <f>VLOOKUP($F203,AF!$B$39:$M$80,G$9)*$E203</f>
        <v>0</v>
      </c>
      <c r="H203" s="1">
        <f>VLOOKUP($F203,AF!$B$39:$M$80,H$9)*$E203</f>
        <v>0</v>
      </c>
      <c r="I203" s="1">
        <f>VLOOKUP($F203,AF!$B$39:$M$80,I$9)*$E203</f>
        <v>0</v>
      </c>
      <c r="J203" s="1">
        <f>VLOOKUP($F203,AF!$B$39:$M$80,J$9)*$E203</f>
        <v>0</v>
      </c>
      <c r="K203" s="1">
        <f t="shared" si="303"/>
        <v>0</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72">
        <f t="shared" si="314"/>
        <v>0</v>
      </c>
    </row>
    <row r="204" spans="1:44" x14ac:dyDescent="0.25">
      <c r="A204" s="118">
        <f t="shared" si="315"/>
        <v>196</v>
      </c>
      <c r="B204" s="57">
        <v>923</v>
      </c>
      <c r="C204" s="34" t="s">
        <v>71</v>
      </c>
      <c r="D204" s="34" t="s">
        <v>65</v>
      </c>
      <c r="E204" s="25">
        <v>7523135</v>
      </c>
      <c r="F204" s="8">
        <v>101</v>
      </c>
      <c r="G204" s="1">
        <f>VLOOKUP($F204,AF!$B$39:$M$80,G$9)*$E204</f>
        <v>0</v>
      </c>
      <c r="H204" s="1">
        <f>VLOOKUP($F204,AF!$B$39:$M$80,H$9)*$E204</f>
        <v>0</v>
      </c>
      <c r="I204" s="1">
        <f>VLOOKUP($F204,AF!$B$39:$M$80,I$9)*$E204</f>
        <v>0</v>
      </c>
      <c r="J204" s="1">
        <f>VLOOKUP($F204,AF!$B$39:$M$80,J$9)*$E204</f>
        <v>0</v>
      </c>
      <c r="K204" s="1">
        <f t="shared" si="303"/>
        <v>7523135</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7523135</v>
      </c>
      <c r="Y204" s="1">
        <f t="shared" si="306"/>
        <v>0</v>
      </c>
      <c r="Z204" s="1">
        <f t="shared" si="307"/>
        <v>0</v>
      </c>
      <c r="AA204" s="1">
        <f t="shared" si="308"/>
        <v>7523135</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7523135</v>
      </c>
      <c r="AO204" s="1">
        <f t="shared" si="311"/>
        <v>0</v>
      </c>
      <c r="AP204" s="1">
        <f t="shared" si="312"/>
        <v>0</v>
      </c>
      <c r="AQ204" s="1">
        <f t="shared" si="313"/>
        <v>7523135</v>
      </c>
      <c r="AR204" s="72">
        <f t="shared" si="314"/>
        <v>0</v>
      </c>
    </row>
    <row r="205" spans="1:44" x14ac:dyDescent="0.25">
      <c r="A205" s="118">
        <f t="shared" si="315"/>
        <v>197</v>
      </c>
      <c r="B205" s="57">
        <v>924</v>
      </c>
      <c r="C205" s="34" t="s">
        <v>58</v>
      </c>
      <c r="D205" s="34" t="s">
        <v>859</v>
      </c>
      <c r="E205" s="25">
        <f>5710034-E206</f>
        <v>5323169.34</v>
      </c>
      <c r="F205" s="8">
        <v>101</v>
      </c>
      <c r="G205" s="1">
        <f>VLOOKUP($F205,AF!$B$39:$M$80,G$9)*$E205</f>
        <v>0</v>
      </c>
      <c r="H205" s="1">
        <f>VLOOKUP($F205,AF!$B$39:$M$80,H$9)*$E205</f>
        <v>0</v>
      </c>
      <c r="I205" s="1">
        <f>VLOOKUP($F205,AF!$B$39:$M$80,I$9)*$E205</f>
        <v>0</v>
      </c>
      <c r="J205" s="1">
        <f>VLOOKUP($F205,AF!$B$39:$M$80,J$9)*$E205</f>
        <v>0</v>
      </c>
      <c r="K205" s="1">
        <f t="shared" si="303"/>
        <v>5323169.34</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5323169.34</v>
      </c>
      <c r="Y205" s="1">
        <f t="shared" si="306"/>
        <v>0</v>
      </c>
      <c r="Z205" s="1">
        <f t="shared" si="307"/>
        <v>0</v>
      </c>
      <c r="AA205" s="1">
        <f t="shared" si="308"/>
        <v>5323169.34</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5323169.34</v>
      </c>
      <c r="AO205" s="1">
        <f t="shared" si="311"/>
        <v>0</v>
      </c>
      <c r="AP205" s="1">
        <f t="shared" si="312"/>
        <v>0</v>
      </c>
      <c r="AQ205" s="1">
        <f t="shared" si="313"/>
        <v>5323169.34</v>
      </c>
      <c r="AR205" s="72">
        <f t="shared" si="314"/>
        <v>0</v>
      </c>
    </row>
    <row r="206" spans="1:44" x14ac:dyDescent="0.25">
      <c r="A206" s="118">
        <f t="shared" si="315"/>
        <v>198</v>
      </c>
      <c r="B206" s="57" t="s">
        <v>572</v>
      </c>
      <c r="C206" s="34" t="s">
        <v>144</v>
      </c>
      <c r="D206" s="34"/>
      <c r="E206" s="17">
        <f>SUM(G206:K206)</f>
        <v>386864.66</v>
      </c>
      <c r="F206" s="72">
        <v>100</v>
      </c>
      <c r="G206" s="25">
        <v>20486.21</v>
      </c>
      <c r="H206" s="27">
        <v>42847.01</v>
      </c>
      <c r="I206" s="25">
        <v>205341.64</v>
      </c>
      <c r="J206" s="25">
        <v>0</v>
      </c>
      <c r="K206" s="25">
        <f>5856.7+44762.48+67570.62</f>
        <v>118189.79999999999</v>
      </c>
      <c r="L206" s="72">
        <f t="shared" si="304"/>
        <v>0</v>
      </c>
      <c r="N206" s="8">
        <v>205</v>
      </c>
      <c r="O206" s="1">
        <f>VLOOKUP($N206,AF!$B$39:$M$80,O$9)*$G206</f>
        <v>10147.717712781961</v>
      </c>
      <c r="P206" s="1">
        <f>VLOOKUP($N206,AF!$B$39:$M$80,P$9)*$G206</f>
        <v>10338.492287218038</v>
      </c>
      <c r="Q206" s="1">
        <f>VLOOKUP($N206,AF!$B$39:$M$80,Q$9)*$H206</f>
        <v>42847.01</v>
      </c>
      <c r="R206" s="1">
        <f>VLOOKUP($N206,AF!$B$39:$M$80,R$9)*$H206</f>
        <v>0</v>
      </c>
      <c r="S206" s="1">
        <f>VLOOKUP($N206,AF!$B$39:$M$80,S$9)*$I206</f>
        <v>205341.64</v>
      </c>
      <c r="T206" s="1">
        <f>VLOOKUP($N206,AF!$B$39:$M$80,T$9)*$I206</f>
        <v>0</v>
      </c>
      <c r="U206" s="1">
        <f>VLOOKUP($N206,AF!$B$39:$M$80,U$9)*$J206</f>
        <v>0</v>
      </c>
      <c r="V206" s="1">
        <f>VLOOKUP($N206,AF!$B$39:$M$80,V$9)*$J206</f>
        <v>0</v>
      </c>
      <c r="W206" s="1">
        <f t="shared" si="305"/>
        <v>118189.79999999999</v>
      </c>
      <c r="Y206" s="1">
        <f t="shared" si="306"/>
        <v>258336.36771278197</v>
      </c>
      <c r="Z206" s="1">
        <f t="shared" si="307"/>
        <v>10338.492287218038</v>
      </c>
      <c r="AA206" s="1">
        <f t="shared" si="308"/>
        <v>386864.66</v>
      </c>
      <c r="AB206" s="72">
        <f t="shared" si="309"/>
        <v>0</v>
      </c>
      <c r="AD206" s="72">
        <v>305</v>
      </c>
      <c r="AE206" s="1">
        <f ca="1">VLOOKUP($AD206,AF!$B$39:$M$80,AE$9)*$O206</f>
        <v>7940.0445380698366</v>
      </c>
      <c r="AF206" s="1">
        <f ca="1">VLOOKUP($AD206,AF!$B$39:$M$80,AF$9)*$P206</f>
        <v>2855.1613854944735</v>
      </c>
      <c r="AG206" s="1">
        <f ca="1">VLOOKUP($AD206,AF!$B$39:$M$80,AG$9)*$Q206</f>
        <v>26168.334641787384</v>
      </c>
      <c r="AH206" s="1">
        <f ca="1">VLOOKUP($AD206,AF!$B$39:$M$80,AH$9)*$R206</f>
        <v>0</v>
      </c>
      <c r="AI206" s="1">
        <f ca="1">VLOOKUP($AD206,AF!$B$39:$M$80,AI$9)*$S206</f>
        <v>60122.478960678825</v>
      </c>
      <c r="AJ206" s="1">
        <f ca="1">VLOOKUP($AD206,AF!$B$39:$M$80,AJ$9)*$T206</f>
        <v>0</v>
      </c>
      <c r="AK206" s="1">
        <f ca="1">VLOOKUP($AD206,AF!$B$39:$M$80,AK$9)*$U206</f>
        <v>0</v>
      </c>
      <c r="AL206" s="1">
        <f ca="1">VLOOKUP($AD206,AF!$B$39:$M$80,AL$9)*$V206</f>
        <v>0</v>
      </c>
      <c r="AM206" s="1">
        <f t="shared" ca="1" si="310"/>
        <v>289778.64047396946</v>
      </c>
      <c r="AO206" s="1">
        <f t="shared" ca="1" si="311"/>
        <v>94230.858140536046</v>
      </c>
      <c r="AP206" s="1">
        <f t="shared" ca="1" si="312"/>
        <v>2855.1613854944735</v>
      </c>
      <c r="AQ206" s="1">
        <f t="shared" ca="1" si="313"/>
        <v>386864.66</v>
      </c>
      <c r="AR206" s="72">
        <f t="shared" ca="1" si="314"/>
        <v>0</v>
      </c>
    </row>
    <row r="207" spans="1:44" x14ac:dyDescent="0.25">
      <c r="A207" s="118">
        <f t="shared" si="315"/>
        <v>199</v>
      </c>
      <c r="B207" s="57">
        <v>925</v>
      </c>
      <c r="C207" s="34" t="s">
        <v>354</v>
      </c>
      <c r="D207" s="34" t="s">
        <v>355</v>
      </c>
      <c r="E207" s="25">
        <v>1969</v>
      </c>
      <c r="F207" s="8">
        <v>101</v>
      </c>
      <c r="G207" s="1">
        <f>VLOOKUP($F207,AF!$B$39:$M$80,G$9)*$E207</f>
        <v>0</v>
      </c>
      <c r="H207" s="1">
        <f>VLOOKUP($F207,AF!$B$39:$M$80,H$9)*$E207</f>
        <v>0</v>
      </c>
      <c r="I207" s="1">
        <f>VLOOKUP($F207,AF!$B$39:$M$80,I$9)*$E207</f>
        <v>0</v>
      </c>
      <c r="J207" s="1">
        <f>VLOOKUP($F207,AF!$B$39:$M$80,J$9)*$E207</f>
        <v>0</v>
      </c>
      <c r="K207" s="1">
        <f t="shared" ref="K207:K214" si="316">E207-SUM(G207:J207)</f>
        <v>1969</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1969</v>
      </c>
      <c r="Y207" s="1">
        <f t="shared" si="306"/>
        <v>0</v>
      </c>
      <c r="Z207" s="1">
        <f t="shared" si="307"/>
        <v>0</v>
      </c>
      <c r="AA207" s="1">
        <f t="shared" si="308"/>
        <v>1969</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1969</v>
      </c>
      <c r="AO207" s="1">
        <f t="shared" si="311"/>
        <v>0</v>
      </c>
      <c r="AP207" s="1">
        <f t="shared" si="312"/>
        <v>0</v>
      </c>
      <c r="AQ207" s="1">
        <f t="shared" si="313"/>
        <v>1969</v>
      </c>
      <c r="AR207" s="72">
        <f t="shared" si="314"/>
        <v>0</v>
      </c>
    </row>
    <row r="208" spans="1:44" x14ac:dyDescent="0.25">
      <c r="A208" s="118">
        <f t="shared" si="315"/>
        <v>200</v>
      </c>
      <c r="B208" s="57">
        <v>926</v>
      </c>
      <c r="C208" s="34" t="s">
        <v>59</v>
      </c>
      <c r="D208" s="34" t="s">
        <v>66</v>
      </c>
      <c r="E208" s="25">
        <v>6168773</v>
      </c>
      <c r="F208" s="8">
        <v>101</v>
      </c>
      <c r="G208" s="1">
        <f>VLOOKUP($F208,AF!$B$39:$M$80,G$9)*$E208</f>
        <v>0</v>
      </c>
      <c r="H208" s="1">
        <f>VLOOKUP($F208,AF!$B$39:$M$80,H$9)*$E208</f>
        <v>0</v>
      </c>
      <c r="I208" s="1">
        <f>VLOOKUP($F208,AF!$B$39:$M$80,I$9)*$E208</f>
        <v>0</v>
      </c>
      <c r="J208" s="1">
        <f>VLOOKUP($F208,AF!$B$39:$M$80,J$9)*$E208</f>
        <v>0</v>
      </c>
      <c r="K208" s="1">
        <f t="shared" si="316"/>
        <v>6168773</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6168773</v>
      </c>
      <c r="Y208" s="1">
        <f t="shared" si="306"/>
        <v>0</v>
      </c>
      <c r="Z208" s="1">
        <f t="shared" si="307"/>
        <v>0</v>
      </c>
      <c r="AA208" s="1">
        <f t="shared" si="308"/>
        <v>6168773</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6168773</v>
      </c>
      <c r="AO208" s="1">
        <f t="shared" si="311"/>
        <v>0</v>
      </c>
      <c r="AP208" s="1">
        <f t="shared" si="312"/>
        <v>0</v>
      </c>
      <c r="AQ208" s="1">
        <f t="shared" si="313"/>
        <v>6168773</v>
      </c>
      <c r="AR208" s="72">
        <f t="shared" si="314"/>
        <v>0</v>
      </c>
    </row>
    <row r="209" spans="1:44" x14ac:dyDescent="0.25">
      <c r="A209" s="118">
        <f t="shared" si="315"/>
        <v>201</v>
      </c>
      <c r="B209" s="57">
        <v>927</v>
      </c>
      <c r="C209" s="34" t="s">
        <v>356</v>
      </c>
      <c r="D209" s="34" t="s">
        <v>357</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25">
      <c r="A210" s="118">
        <f t="shared" si="315"/>
        <v>202</v>
      </c>
      <c r="B210" s="57">
        <v>928</v>
      </c>
      <c r="C210" s="34" t="s">
        <v>358</v>
      </c>
      <c r="D210" s="34" t="s">
        <v>359</v>
      </c>
      <c r="E210" s="25">
        <v>248456</v>
      </c>
      <c r="F210" s="8">
        <v>101</v>
      </c>
      <c r="G210" s="1">
        <f>VLOOKUP($F210,AF!$B$39:$M$80,G$9)*$E210</f>
        <v>0</v>
      </c>
      <c r="H210" s="1">
        <f>VLOOKUP($F210,AF!$B$39:$M$80,H$9)*$E210</f>
        <v>0</v>
      </c>
      <c r="I210" s="1">
        <f>VLOOKUP($F210,AF!$B$39:$M$80,I$9)*$E210</f>
        <v>0</v>
      </c>
      <c r="J210" s="1">
        <f>VLOOKUP($F210,AF!$B$39:$M$80,J$9)*$E210</f>
        <v>0</v>
      </c>
      <c r="K210" s="1">
        <f t="shared" si="316"/>
        <v>248456</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248456</v>
      </c>
      <c r="Y210" s="1">
        <f t="shared" si="306"/>
        <v>0</v>
      </c>
      <c r="Z210" s="1">
        <f t="shared" si="307"/>
        <v>0</v>
      </c>
      <c r="AA210" s="1">
        <f t="shared" si="308"/>
        <v>248456</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248456</v>
      </c>
      <c r="AO210" s="1">
        <f t="shared" si="311"/>
        <v>0</v>
      </c>
      <c r="AP210" s="1">
        <f t="shared" si="312"/>
        <v>0</v>
      </c>
      <c r="AQ210" s="1">
        <f t="shared" si="313"/>
        <v>248456</v>
      </c>
      <c r="AR210" s="72">
        <f t="shared" si="314"/>
        <v>0</v>
      </c>
    </row>
    <row r="211" spans="1:44" x14ac:dyDescent="0.25">
      <c r="A211" s="118">
        <f t="shared" si="315"/>
        <v>203</v>
      </c>
      <c r="B211" s="57">
        <v>929</v>
      </c>
      <c r="C211" s="34" t="s">
        <v>360</v>
      </c>
      <c r="D211" s="34" t="s">
        <v>361</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25">
      <c r="A212" s="118">
        <f t="shared" si="315"/>
        <v>204</v>
      </c>
      <c r="B212" s="57">
        <v>930.1</v>
      </c>
      <c r="C212" s="34" t="s">
        <v>60</v>
      </c>
      <c r="D212" s="34" t="s">
        <v>67</v>
      </c>
      <c r="E212" s="25">
        <v>30526</v>
      </c>
      <c r="F212" s="8">
        <v>101</v>
      </c>
      <c r="G212" s="1">
        <f>VLOOKUP($F212,AF!$B$39:$M$80,G$9)*$E212</f>
        <v>0</v>
      </c>
      <c r="H212" s="1">
        <f>VLOOKUP($F212,AF!$B$39:$M$80,H$9)*$E212</f>
        <v>0</v>
      </c>
      <c r="I212" s="1">
        <f>VLOOKUP($F212,AF!$B$39:$M$80,I$9)*$E212</f>
        <v>0</v>
      </c>
      <c r="J212" s="1">
        <f>VLOOKUP($F212,AF!$B$39:$M$80,J$9)*$E212</f>
        <v>0</v>
      </c>
      <c r="K212" s="1">
        <f t="shared" si="316"/>
        <v>30526</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30526</v>
      </c>
      <c r="Y212" s="1">
        <f t="shared" si="306"/>
        <v>0</v>
      </c>
      <c r="Z212" s="1">
        <f t="shared" si="307"/>
        <v>0</v>
      </c>
      <c r="AA212" s="1">
        <f t="shared" si="308"/>
        <v>30526</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30526</v>
      </c>
      <c r="AO212" s="1">
        <f t="shared" si="311"/>
        <v>0</v>
      </c>
      <c r="AP212" s="1">
        <f t="shared" si="312"/>
        <v>0</v>
      </c>
      <c r="AQ212" s="1">
        <f t="shared" si="313"/>
        <v>30526</v>
      </c>
      <c r="AR212" s="72">
        <f t="shared" si="314"/>
        <v>0</v>
      </c>
    </row>
    <row r="213" spans="1:44" x14ac:dyDescent="0.25">
      <c r="A213" s="118">
        <f t="shared" si="315"/>
        <v>205</v>
      </c>
      <c r="B213" s="57">
        <v>930.2</v>
      </c>
      <c r="C213" s="34" t="s">
        <v>70</v>
      </c>
      <c r="D213" s="34" t="s">
        <v>68</v>
      </c>
      <c r="E213" s="25">
        <v>1942993</v>
      </c>
      <c r="F213" s="8">
        <v>101</v>
      </c>
      <c r="G213" s="1">
        <f>VLOOKUP($F213,AF!$B$39:$M$80,G$9)*$E213</f>
        <v>0</v>
      </c>
      <c r="H213" s="1">
        <f>VLOOKUP($F213,AF!$B$39:$M$80,H$9)*$E213</f>
        <v>0</v>
      </c>
      <c r="I213" s="1">
        <f>VLOOKUP($F213,AF!$B$39:$M$80,I$9)*$E213</f>
        <v>0</v>
      </c>
      <c r="J213" s="1">
        <f>VLOOKUP($F213,AF!$B$39:$M$80,J$9)*$E213</f>
        <v>0</v>
      </c>
      <c r="K213" s="1">
        <f t="shared" si="316"/>
        <v>1942993</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1942993</v>
      </c>
      <c r="Y213" s="1">
        <f t="shared" si="306"/>
        <v>0</v>
      </c>
      <c r="Z213" s="1">
        <f t="shared" si="307"/>
        <v>0</v>
      </c>
      <c r="AA213" s="1">
        <f t="shared" si="308"/>
        <v>1942993</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1942993</v>
      </c>
      <c r="AO213" s="1">
        <f t="shared" si="311"/>
        <v>0</v>
      </c>
      <c r="AP213" s="1">
        <f t="shared" si="312"/>
        <v>0</v>
      </c>
      <c r="AQ213" s="1">
        <f t="shared" si="313"/>
        <v>1942993</v>
      </c>
      <c r="AR213" s="72">
        <f t="shared" si="314"/>
        <v>0</v>
      </c>
    </row>
    <row r="214" spans="1:44" x14ac:dyDescent="0.25">
      <c r="A214" s="118">
        <f t="shared" si="315"/>
        <v>206</v>
      </c>
      <c r="B214" s="57">
        <v>931</v>
      </c>
      <c r="C214" s="34" t="s">
        <v>61</v>
      </c>
      <c r="D214" s="34" t="s">
        <v>69</v>
      </c>
      <c r="E214" s="26">
        <v>836262</v>
      </c>
      <c r="F214" s="8">
        <v>101</v>
      </c>
      <c r="G214" s="133">
        <f>VLOOKUP($F214,AF!$B$39:$M$80,G$9)*$E214</f>
        <v>0</v>
      </c>
      <c r="H214" s="133">
        <f>VLOOKUP($F214,AF!$B$39:$M$80,H$9)*$E214</f>
        <v>0</v>
      </c>
      <c r="I214" s="133">
        <f>VLOOKUP($F214,AF!$B$39:$M$80,I$9)*$E214</f>
        <v>0</v>
      </c>
      <c r="J214" s="133">
        <f>VLOOKUP($F214,AF!$B$39:$M$80,J$9)*$E214</f>
        <v>0</v>
      </c>
      <c r="K214" s="133">
        <f t="shared" si="316"/>
        <v>836262</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836262</v>
      </c>
      <c r="Y214" s="133">
        <f t="shared" si="306"/>
        <v>0</v>
      </c>
      <c r="Z214" s="133">
        <f t="shared" si="307"/>
        <v>0</v>
      </c>
      <c r="AA214" s="133">
        <f t="shared" si="308"/>
        <v>836262</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836262</v>
      </c>
      <c r="AO214" s="133">
        <f t="shared" si="311"/>
        <v>0</v>
      </c>
      <c r="AP214" s="133">
        <f t="shared" si="312"/>
        <v>0</v>
      </c>
      <c r="AQ214" s="133">
        <f t="shared" si="313"/>
        <v>836262</v>
      </c>
      <c r="AR214" s="72">
        <f t="shared" si="314"/>
        <v>0</v>
      </c>
    </row>
    <row r="215" spans="1:44" x14ac:dyDescent="0.25">
      <c r="A215" s="118">
        <f t="shared" si="315"/>
        <v>207</v>
      </c>
      <c r="B215" s="34"/>
      <c r="C215" s="34" t="s">
        <v>0</v>
      </c>
      <c r="D215" s="34"/>
      <c r="E215" s="1">
        <f>SUM(E201:E214)</f>
        <v>31022662</v>
      </c>
      <c r="F215" s="8"/>
      <c r="G215" s="1">
        <f t="shared" ref="G215:K215" si="317">SUM(G201:G214)</f>
        <v>20486.21</v>
      </c>
      <c r="H215" s="1">
        <f t="shared" si="317"/>
        <v>42847.01</v>
      </c>
      <c r="I215" s="1">
        <f t="shared" si="317"/>
        <v>205341.64</v>
      </c>
      <c r="J215" s="1">
        <f t="shared" si="317"/>
        <v>0</v>
      </c>
      <c r="K215" s="1">
        <f t="shared" si="317"/>
        <v>30753987.140000001</v>
      </c>
      <c r="L215" s="72">
        <f t="shared" si="304"/>
        <v>0</v>
      </c>
      <c r="N215" s="8"/>
      <c r="O215" s="1">
        <f t="shared" ref="O215:W215" si="318">SUM(O201:O214)</f>
        <v>10147.717712781961</v>
      </c>
      <c r="P215" s="1">
        <f t="shared" si="318"/>
        <v>10338.492287218038</v>
      </c>
      <c r="Q215" s="1">
        <f t="shared" si="318"/>
        <v>42847.01</v>
      </c>
      <c r="R215" s="1">
        <f t="shared" si="318"/>
        <v>0</v>
      </c>
      <c r="S215" s="1">
        <f t="shared" si="318"/>
        <v>205341.64</v>
      </c>
      <c r="T215" s="1">
        <f t="shared" si="318"/>
        <v>0</v>
      </c>
      <c r="U215" s="1">
        <f t="shared" si="318"/>
        <v>0</v>
      </c>
      <c r="V215" s="1">
        <f t="shared" si="318"/>
        <v>0</v>
      </c>
      <c r="W215" s="1">
        <f t="shared" si="318"/>
        <v>30753987.140000001</v>
      </c>
      <c r="Y215" s="1">
        <f t="shared" ref="Y215:AA215" si="319">SUM(Y201:Y214)</f>
        <v>258336.36771278197</v>
      </c>
      <c r="Z215" s="1">
        <f t="shared" si="319"/>
        <v>10338.492287218038</v>
      </c>
      <c r="AA215" s="1">
        <f t="shared" si="319"/>
        <v>31022662</v>
      </c>
      <c r="AB215" s="72">
        <f t="shared" si="309"/>
        <v>0</v>
      </c>
      <c r="AD215" s="8"/>
      <c r="AE215" s="1">
        <f t="shared" ref="AE215:AM215" ca="1" si="320">SUM(AE201:AE214)</f>
        <v>7940.0445380698366</v>
      </c>
      <c r="AF215" s="1">
        <f t="shared" ca="1" si="320"/>
        <v>2855.1613854944735</v>
      </c>
      <c r="AG215" s="1">
        <f t="shared" ca="1" si="320"/>
        <v>26168.334641787384</v>
      </c>
      <c r="AH215" s="1">
        <f t="shared" ca="1" si="320"/>
        <v>0</v>
      </c>
      <c r="AI215" s="1">
        <f t="shared" ca="1" si="320"/>
        <v>60122.478960678825</v>
      </c>
      <c r="AJ215" s="1">
        <f t="shared" ca="1" si="320"/>
        <v>0</v>
      </c>
      <c r="AK215" s="1">
        <f t="shared" ca="1" si="320"/>
        <v>0</v>
      </c>
      <c r="AL215" s="1">
        <f t="shared" ca="1" si="320"/>
        <v>0</v>
      </c>
      <c r="AM215" s="1">
        <f t="shared" ca="1" si="320"/>
        <v>30925575.980473969</v>
      </c>
      <c r="AO215" s="1">
        <f t="shared" ref="AO215:AQ215" ca="1" si="321">SUM(AO201:AO214)</f>
        <v>94230.858140536046</v>
      </c>
      <c r="AP215" s="1">
        <f t="shared" ca="1" si="321"/>
        <v>2855.1613854944735</v>
      </c>
      <c r="AQ215" s="1">
        <f t="shared" ca="1" si="321"/>
        <v>31022662</v>
      </c>
      <c r="AR215" s="72">
        <f t="shared" ca="1" si="314"/>
        <v>0</v>
      </c>
    </row>
    <row r="216" spans="1:44" x14ac:dyDescent="0.25">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25">
      <c r="A217" s="118">
        <f t="shared" si="315"/>
        <v>209</v>
      </c>
      <c r="B217" s="35" t="s">
        <v>409</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25">
      <c r="A218" s="118">
        <f t="shared" si="315"/>
        <v>210</v>
      </c>
      <c r="B218" s="34">
        <v>935</v>
      </c>
      <c r="C218" s="34" t="s">
        <v>362</v>
      </c>
      <c r="D218" s="34" t="s">
        <v>363</v>
      </c>
      <c r="E218" s="25">
        <v>19738</v>
      </c>
      <c r="F218" s="8">
        <v>101</v>
      </c>
      <c r="G218" s="1">
        <f>VLOOKUP($F218,AF!$B$39:$M$80,G$9)*$E218</f>
        <v>0</v>
      </c>
      <c r="H218" s="1">
        <f>VLOOKUP($F218,AF!$B$39:$M$80,H$9)*$E218</f>
        <v>0</v>
      </c>
      <c r="I218" s="1">
        <f>VLOOKUP($F218,AF!$B$39:$M$80,I$9)*$E218</f>
        <v>0</v>
      </c>
      <c r="J218" s="1">
        <f>VLOOKUP($F218,AF!$B$39:$M$80,J$9)*$E218</f>
        <v>0</v>
      </c>
      <c r="K218" s="133">
        <f t="shared" ref="K218" si="322">E218-SUM(G218:J218)</f>
        <v>19738</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19738</v>
      </c>
      <c r="Y218" s="1">
        <f>+O218+Q218+S218+U218</f>
        <v>0</v>
      </c>
      <c r="Z218" s="1">
        <f>+P218+R218+T218+V218</f>
        <v>0</v>
      </c>
      <c r="AA218" s="1">
        <f>+Z218+Y218+W218</f>
        <v>19738</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19738</v>
      </c>
      <c r="AO218" s="1">
        <f>+AE218+AG218+AI218+AK218</f>
        <v>0</v>
      </c>
      <c r="AP218" s="1">
        <f>+AF218+AH218+AJ218+AL218</f>
        <v>0</v>
      </c>
      <c r="AQ218" s="1">
        <f t="shared" ref="AQ218" si="325">+AP218+AO218+AM218</f>
        <v>19738</v>
      </c>
      <c r="AR218" s="72">
        <f>$E218-AQ218</f>
        <v>0</v>
      </c>
    </row>
    <row r="219" spans="1:44" x14ac:dyDescent="0.25">
      <c r="A219" s="118">
        <f t="shared" si="315"/>
        <v>211</v>
      </c>
      <c r="B219" s="34"/>
      <c r="C219" s="34" t="s">
        <v>0</v>
      </c>
      <c r="D219" s="34"/>
      <c r="E219" s="33">
        <f>SUM(E218)</f>
        <v>19738</v>
      </c>
      <c r="F219" s="8"/>
      <c r="G219" s="33">
        <f t="shared" ref="G219:I219" si="326">SUM(G218)</f>
        <v>0</v>
      </c>
      <c r="H219" s="33">
        <f t="shared" si="326"/>
        <v>0</v>
      </c>
      <c r="I219" s="33">
        <f t="shared" si="326"/>
        <v>0</v>
      </c>
      <c r="J219" s="33">
        <f t="shared" ref="J219:K219" si="327">SUM(J218)</f>
        <v>0</v>
      </c>
      <c r="K219" s="33">
        <f t="shared" si="327"/>
        <v>19738</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19738</v>
      </c>
      <c r="Y219" s="33">
        <f t="shared" ref="Y219:AA219" si="333">SUM(Y218)</f>
        <v>0</v>
      </c>
      <c r="Z219" s="33">
        <f t="shared" si="333"/>
        <v>0</v>
      </c>
      <c r="AA219" s="33">
        <f t="shared" si="333"/>
        <v>19738</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19738</v>
      </c>
      <c r="AO219" s="33">
        <f t="shared" ref="AO219:AQ219" si="335">SUM(AO218)</f>
        <v>0</v>
      </c>
      <c r="AP219" s="33">
        <f t="shared" si="335"/>
        <v>0</v>
      </c>
      <c r="AQ219" s="33">
        <f t="shared" si="335"/>
        <v>19738</v>
      </c>
      <c r="AR219" s="8"/>
    </row>
    <row r="220" spans="1:44" x14ac:dyDescent="0.25">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25">
      <c r="A221" s="118">
        <f t="shared" si="315"/>
        <v>213</v>
      </c>
      <c r="B221" s="34" t="s">
        <v>714</v>
      </c>
      <c r="C221" s="34"/>
      <c r="D221" s="34"/>
      <c r="E221" s="31">
        <f>E215+E219</f>
        <v>31042400</v>
      </c>
      <c r="F221" s="74"/>
      <c r="G221" s="31">
        <f t="shared" ref="G221:K221" si="336">G215+G219</f>
        <v>20486.21</v>
      </c>
      <c r="H221" s="31">
        <f t="shared" si="336"/>
        <v>42847.01</v>
      </c>
      <c r="I221" s="31">
        <f t="shared" si="336"/>
        <v>205341.64</v>
      </c>
      <c r="J221" s="31">
        <f t="shared" si="336"/>
        <v>0</v>
      </c>
      <c r="K221" s="31">
        <f t="shared" si="336"/>
        <v>30773725.140000001</v>
      </c>
      <c r="L221" s="72">
        <f>$E221-SUM(G221:K221)</f>
        <v>0</v>
      </c>
      <c r="N221" s="74"/>
      <c r="O221" s="31">
        <f t="shared" ref="O221" si="337">O215+O219</f>
        <v>10147.717712781961</v>
      </c>
      <c r="P221" s="31">
        <f t="shared" ref="P221:W221" si="338">P215+P219</f>
        <v>10338.492287218038</v>
      </c>
      <c r="Q221" s="31">
        <f t="shared" si="338"/>
        <v>42847.01</v>
      </c>
      <c r="R221" s="31">
        <f t="shared" ref="R221" si="339">R215+R219</f>
        <v>0</v>
      </c>
      <c r="S221" s="31">
        <f t="shared" si="338"/>
        <v>205341.64</v>
      </c>
      <c r="T221" s="31">
        <f t="shared" ref="T221" si="340">T215+T219</f>
        <v>0</v>
      </c>
      <c r="U221" s="31">
        <f t="shared" si="338"/>
        <v>0</v>
      </c>
      <c r="V221" s="31">
        <f t="shared" ref="V221" si="341">V215+V219</f>
        <v>0</v>
      </c>
      <c r="W221" s="31">
        <f t="shared" si="338"/>
        <v>30773725.140000001</v>
      </c>
      <c r="Y221" s="31">
        <f t="shared" ref="Y221:AA221" si="342">Y215+Y219</f>
        <v>258336.36771278197</v>
      </c>
      <c r="Z221" s="31">
        <f t="shared" si="342"/>
        <v>10338.492287218038</v>
      </c>
      <c r="AA221" s="31">
        <f t="shared" si="342"/>
        <v>31042400</v>
      </c>
      <c r="AB221" s="72">
        <f t="shared" ref="AB221" si="343">$E221-AA221</f>
        <v>0</v>
      </c>
      <c r="AD221" s="74"/>
      <c r="AE221" s="31">
        <f t="shared" ref="AE221:AM221" ca="1" si="344">AE215+AE219</f>
        <v>7940.0445380698366</v>
      </c>
      <c r="AF221" s="31">
        <f t="shared" ca="1" si="344"/>
        <v>2855.1613854944735</v>
      </c>
      <c r="AG221" s="31">
        <f t="shared" ca="1" si="344"/>
        <v>26168.334641787384</v>
      </c>
      <c r="AH221" s="31">
        <f t="shared" ca="1" si="344"/>
        <v>0</v>
      </c>
      <c r="AI221" s="31">
        <f t="shared" ca="1" si="344"/>
        <v>60122.478960678825</v>
      </c>
      <c r="AJ221" s="31">
        <f t="shared" ca="1" si="344"/>
        <v>0</v>
      </c>
      <c r="AK221" s="31">
        <f t="shared" ca="1" si="344"/>
        <v>0</v>
      </c>
      <c r="AL221" s="31">
        <f t="shared" ca="1" si="344"/>
        <v>0</v>
      </c>
      <c r="AM221" s="31">
        <f t="shared" ca="1" si="344"/>
        <v>30945313.980473969</v>
      </c>
      <c r="AO221" s="31">
        <f t="shared" ref="AO221:AQ221" ca="1" si="345">AO215+AO219</f>
        <v>94230.858140536046</v>
      </c>
      <c r="AP221" s="31">
        <f t="shared" ca="1" si="345"/>
        <v>2855.1613854944735</v>
      </c>
      <c r="AQ221" s="31">
        <f t="shared" ca="1" si="345"/>
        <v>31042400</v>
      </c>
      <c r="AR221" s="72">
        <f t="shared" ref="AR221" ca="1" si="346">$E221-AQ221</f>
        <v>0</v>
      </c>
    </row>
    <row r="222" spans="1:44" x14ac:dyDescent="0.25">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25">
      <c r="A223" s="118">
        <f t="shared" si="315"/>
        <v>215</v>
      </c>
      <c r="B223" s="34"/>
      <c r="C223" s="34" t="s">
        <v>715</v>
      </c>
      <c r="D223" s="34" t="s">
        <v>241</v>
      </c>
      <c r="E223" s="29">
        <v>7745402.6100000003</v>
      </c>
      <c r="F223" s="8">
        <v>102</v>
      </c>
      <c r="G223" s="31">
        <f>VLOOKUP($F223,AF!$B$39:$M$80,G$9)*$E223</f>
        <v>121974.8442519685</v>
      </c>
      <c r="H223" s="31">
        <f>VLOOKUP($F223,AF!$B$39:$M$80,H$9)*$E223</f>
        <v>101645.70354330709</v>
      </c>
      <c r="I223" s="31">
        <f>VLOOKUP($F223,AF!$B$39:$M$80,I$9)*$E223</f>
        <v>325266.25133858266</v>
      </c>
      <c r="J223" s="31">
        <f>VLOOKUP($F223,AF!$B$39:$M$80,J$9)*$E223</f>
        <v>0</v>
      </c>
      <c r="K223" s="1">
        <f t="shared" ref="K223:K224" si="347">E223-SUM(G223:J223)</f>
        <v>7196515.8108661417</v>
      </c>
      <c r="L223" s="72">
        <f>$E223-SUM(G223:K223)</f>
        <v>0</v>
      </c>
      <c r="N223" s="8">
        <v>204</v>
      </c>
      <c r="O223" s="1">
        <f>VLOOKUP($N223,AF!$B$39:$M$80,O$9)*$G223</f>
        <v>20329.140708661416</v>
      </c>
      <c r="P223" s="1">
        <f>VLOOKUP($N223,AF!$B$39:$M$80,P$9)*$G223</f>
        <v>101645.70354330709</v>
      </c>
      <c r="Q223" s="1">
        <f>VLOOKUP($N223,AF!$B$39:$M$80,Q$9)*$H223</f>
        <v>101645.70354330709</v>
      </c>
      <c r="R223" s="1">
        <f>VLOOKUP($N223,AF!$B$39:$M$80,R$9)*$H223</f>
        <v>0</v>
      </c>
      <c r="S223" s="1">
        <f>VLOOKUP($N223,AF!$B$39:$M$80,S$9)*$I223</f>
        <v>325266.25133858266</v>
      </c>
      <c r="T223" s="1">
        <f>VLOOKUP($N223,AF!$B$39:$M$80,T$9)*$I223</f>
        <v>0</v>
      </c>
      <c r="U223" s="1">
        <f>VLOOKUP($N223,AF!$B$39:$M$80,U$9)*$J223</f>
        <v>0</v>
      </c>
      <c r="V223" s="1">
        <f>VLOOKUP($N223,AF!$B$39:$M$80,V$9)*$J223</f>
        <v>0</v>
      </c>
      <c r="W223" s="1">
        <f t="shared" ref="W223:W224" si="348">E223-SUM(O223:V223)</f>
        <v>7196515.8108661417</v>
      </c>
      <c r="Y223" s="1">
        <f>+O223+Q223+S223+U223</f>
        <v>447241.09559055115</v>
      </c>
      <c r="Z223" s="1">
        <f>+P223+R223+T223+V223</f>
        <v>101645.70354330709</v>
      </c>
      <c r="AA223" s="1">
        <f t="shared" ref="AA223:AA224" si="349">+Z223+Y223+W223</f>
        <v>7745402.6099999994</v>
      </c>
      <c r="AB223" s="72">
        <f t="shared" ref="AB223:AB224" si="350">$E223-AA223</f>
        <v>0</v>
      </c>
      <c r="AD223" s="72">
        <v>306</v>
      </c>
      <c r="AE223" s="1">
        <f>VLOOKUP($AD223,AF!$B$39:$M$80,AE$9)*$O223</f>
        <v>15914.691836194101</v>
      </c>
      <c r="AF223" s="1">
        <f>VLOOKUP($AD223,AF!$B$39:$M$80,AF$9)*$P223</f>
        <v>29113.886860057406</v>
      </c>
      <c r="AG223" s="1">
        <f>VLOOKUP($AD223,AF!$B$39:$M$80,AG$9)*$Q223</f>
        <v>62192.352134838096</v>
      </c>
      <c r="AH223" s="1">
        <f>VLOOKUP($AD223,AF!$B$39:$M$80,AH$9)*$R223</f>
        <v>0</v>
      </c>
      <c r="AI223" s="1">
        <f>VLOOKUP($AD223,AF!$B$39:$M$80,AI$9)*$S223</f>
        <v>95853.633063499205</v>
      </c>
      <c r="AJ223" s="1">
        <f>VLOOKUP($AD223,AF!$B$39:$M$80,AJ$9)*$T223</f>
        <v>0</v>
      </c>
      <c r="AK223" s="1">
        <f>VLOOKUP($AD223,AF!$B$39:$M$80,AK$9)*$U223</f>
        <v>0</v>
      </c>
      <c r="AL223" s="1">
        <f>VLOOKUP($AD223,AF!$B$39:$M$80,AL$9)*$V223</f>
        <v>0</v>
      </c>
      <c r="AM223" s="1">
        <f t="shared" ref="AM223:AM224" si="351">E223-SUM(AE223:AL223)</f>
        <v>7542328.0461054118</v>
      </c>
      <c r="AO223" s="1">
        <f>+AE223+AG223+AI223+AK223</f>
        <v>173960.6770345314</v>
      </c>
      <c r="AP223" s="1">
        <f>+AF223+AH223+AJ223+AL223</f>
        <v>29113.886860057406</v>
      </c>
      <c r="AQ223" s="1">
        <f t="shared" ref="AQ223:AQ224" si="352">+AP223+AO223+AM223</f>
        <v>7745402.6100000003</v>
      </c>
      <c r="AR223" s="72">
        <f>$E223-AQ223</f>
        <v>0</v>
      </c>
    </row>
    <row r="224" spans="1:44" x14ac:dyDescent="0.25">
      <c r="A224" s="118">
        <f t="shared" si="315"/>
        <v>216</v>
      </c>
      <c r="B224" s="34"/>
      <c r="C224" s="34" t="s">
        <v>716</v>
      </c>
      <c r="D224" s="34"/>
      <c r="E224" s="31">
        <f>E215+E219-E223-E206</f>
        <v>22910132.73</v>
      </c>
      <c r="F224" s="8">
        <v>101</v>
      </c>
      <c r="G224" s="1">
        <f>VLOOKUP($F224,AF!$B$39:$M$80,G$9)*$E224</f>
        <v>0</v>
      </c>
      <c r="H224" s="1">
        <f>VLOOKUP($F224,AF!$B$39:$M$80,H$9)*$E224</f>
        <v>0</v>
      </c>
      <c r="I224" s="1">
        <f>VLOOKUP($F224,AF!$B$39:$M$80,I$9)*$E224</f>
        <v>0</v>
      </c>
      <c r="J224" s="1">
        <f>VLOOKUP($F224,AF!$B$39:$M$80,J$9)*$E224</f>
        <v>0</v>
      </c>
      <c r="K224" s="1">
        <f t="shared" si="347"/>
        <v>22910132.73</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22910132.73</v>
      </c>
      <c r="Y224" s="1">
        <f>+O224+Q224+S224+U224</f>
        <v>0</v>
      </c>
      <c r="Z224" s="1">
        <f>+P224+R224+T224+V224</f>
        <v>0</v>
      </c>
      <c r="AA224" s="1">
        <f t="shared" si="349"/>
        <v>22910132.73</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22910132.73</v>
      </c>
      <c r="AO224" s="1">
        <f>+AE224+AG224+AI224+AK224</f>
        <v>0</v>
      </c>
      <c r="AP224" s="1">
        <f>+AF224+AH224+AJ224+AL224</f>
        <v>0</v>
      </c>
      <c r="AQ224" s="1">
        <f t="shared" si="352"/>
        <v>22910132.73</v>
      </c>
      <c r="AR224" s="72">
        <f>$E224-AQ224</f>
        <v>0</v>
      </c>
    </row>
    <row r="225" spans="1:44" x14ac:dyDescent="0.25">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5.75" thickBot="1" x14ac:dyDescent="0.3">
      <c r="A226" s="118">
        <f t="shared" si="315"/>
        <v>218</v>
      </c>
      <c r="B226" s="34" t="s">
        <v>411</v>
      </c>
      <c r="C226" s="34"/>
      <c r="D226" s="34"/>
      <c r="E226" s="62">
        <f>+E223+E224+E206</f>
        <v>31042400</v>
      </c>
      <c r="F226" s="76"/>
      <c r="G226" s="62">
        <f t="shared" ref="G226:K226" si="353">+G223+G224+G206</f>
        <v>142461.05425196851</v>
      </c>
      <c r="H226" s="62">
        <f t="shared" si="353"/>
        <v>144492.71354330709</v>
      </c>
      <c r="I226" s="62">
        <f t="shared" si="353"/>
        <v>530607.89133858262</v>
      </c>
      <c r="J226" s="62">
        <f t="shared" si="353"/>
        <v>0</v>
      </c>
      <c r="K226" s="62">
        <f t="shared" si="353"/>
        <v>30224838.340866145</v>
      </c>
      <c r="L226" s="72">
        <f>$E226-SUM(G226:K226)</f>
        <v>0</v>
      </c>
      <c r="N226" s="76"/>
      <c r="O226" s="62">
        <f t="shared" ref="O226:W226" si="354">+O223+O224+O206</f>
        <v>30476.858421443379</v>
      </c>
      <c r="P226" s="62">
        <f t="shared" si="354"/>
        <v>111984.19583052512</v>
      </c>
      <c r="Q226" s="62">
        <f t="shared" si="354"/>
        <v>144492.71354330709</v>
      </c>
      <c r="R226" s="62">
        <f t="shared" si="354"/>
        <v>0</v>
      </c>
      <c r="S226" s="62">
        <f t="shared" si="354"/>
        <v>530607.89133858262</v>
      </c>
      <c r="T226" s="62">
        <f t="shared" si="354"/>
        <v>0</v>
      </c>
      <c r="U226" s="62">
        <f t="shared" si="354"/>
        <v>0</v>
      </c>
      <c r="V226" s="62">
        <f t="shared" si="354"/>
        <v>0</v>
      </c>
      <c r="W226" s="62">
        <f t="shared" si="354"/>
        <v>30224838.340866145</v>
      </c>
      <c r="Y226" s="62">
        <f t="shared" ref="Y226:AA226" si="355">+Y223+Y224+Y206</f>
        <v>705577.46330333315</v>
      </c>
      <c r="Z226" s="62">
        <f t="shared" si="355"/>
        <v>111984.19583052512</v>
      </c>
      <c r="AA226" s="62">
        <f t="shared" si="355"/>
        <v>31042400</v>
      </c>
      <c r="AB226" s="72">
        <f t="shared" ref="AB226" si="356">$E226-AA226</f>
        <v>0</v>
      </c>
      <c r="AD226" s="76"/>
      <c r="AE226" s="62">
        <f t="shared" ref="AE226:AM226" ca="1" si="357">+AE223+AE224+AE206</f>
        <v>23854.736374263935</v>
      </c>
      <c r="AF226" s="62">
        <f t="shared" ca="1" si="357"/>
        <v>31969.04824555188</v>
      </c>
      <c r="AG226" s="62">
        <f t="shared" ca="1" si="357"/>
        <v>88360.686776625487</v>
      </c>
      <c r="AH226" s="62">
        <f t="shared" ca="1" si="357"/>
        <v>0</v>
      </c>
      <c r="AI226" s="62">
        <f t="shared" ca="1" si="357"/>
        <v>155976.11202417803</v>
      </c>
      <c r="AJ226" s="62">
        <f t="shared" ca="1" si="357"/>
        <v>0</v>
      </c>
      <c r="AK226" s="62">
        <f t="shared" ca="1" si="357"/>
        <v>0</v>
      </c>
      <c r="AL226" s="62">
        <f t="shared" ca="1" si="357"/>
        <v>0</v>
      </c>
      <c r="AM226" s="62">
        <f t="shared" ca="1" si="357"/>
        <v>30742239.416579381</v>
      </c>
      <c r="AO226" s="62">
        <f t="shared" ref="AO226:AP226" ca="1" si="358">+AO223+AO224+AO206</f>
        <v>268191.53517506743</v>
      </c>
      <c r="AP226" s="109">
        <f t="shared" ca="1" si="358"/>
        <v>31969.04824555188</v>
      </c>
      <c r="AQ226" s="109">
        <f t="shared" ref="AQ226" ca="1" si="359">+AP226+AO226+AM226</f>
        <v>31042400</v>
      </c>
      <c r="AR226" s="72">
        <f ca="1">$E226-AQ226</f>
        <v>0</v>
      </c>
    </row>
    <row r="227" spans="1:44" ht="16.5" thickTop="1" thickBot="1" x14ac:dyDescent="0.3">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6.5" thickTop="1" thickBot="1" x14ac:dyDescent="0.3">
      <c r="A228" s="118">
        <f t="shared" si="315"/>
        <v>220</v>
      </c>
      <c r="B228" s="35" t="s">
        <v>72</v>
      </c>
      <c r="C228" s="35"/>
      <c r="D228" s="34"/>
      <c r="E228" s="38">
        <f>+E29+E49+E57+E117+E138+E176+E184+E191+E198+E226</f>
        <v>757901023</v>
      </c>
      <c r="F228" s="76"/>
      <c r="G228" s="38">
        <f t="shared" ref="G228:K228" si="360">+G29+G49+G57+G117+G138+G176+G184+G191+G198+G226</f>
        <v>466897.22559055121</v>
      </c>
      <c r="H228" s="38">
        <f t="shared" si="360"/>
        <v>219290.49299212598</v>
      </c>
      <c r="I228" s="38">
        <f t="shared" si="360"/>
        <v>2222171.381574803</v>
      </c>
      <c r="J228" s="38">
        <f t="shared" si="360"/>
        <v>0</v>
      </c>
      <c r="K228" s="38">
        <f t="shared" si="360"/>
        <v>754992663.89984238</v>
      </c>
      <c r="L228" s="72">
        <f>$E228-SUM(G228:K228)</f>
        <v>0</v>
      </c>
      <c r="N228" s="76"/>
      <c r="O228" s="38">
        <f t="shared" ref="O228:W228" si="361">+O29+O49+O57+O117+O138+O176+O184+O191+O198+O226</f>
        <v>138909.46497437626</v>
      </c>
      <c r="P228" s="38">
        <f t="shared" si="361"/>
        <v>327987.76061617496</v>
      </c>
      <c r="Q228" s="38">
        <f t="shared" si="361"/>
        <v>219290.49299212598</v>
      </c>
      <c r="R228" s="38">
        <f t="shared" si="361"/>
        <v>0</v>
      </c>
      <c r="S228" s="38">
        <f t="shared" si="361"/>
        <v>2222171.381574803</v>
      </c>
      <c r="T228" s="38">
        <f t="shared" si="361"/>
        <v>0</v>
      </c>
      <c r="U228" s="38">
        <f t="shared" si="361"/>
        <v>0</v>
      </c>
      <c r="V228" s="38">
        <f t="shared" si="361"/>
        <v>0</v>
      </c>
      <c r="W228" s="38">
        <f t="shared" si="361"/>
        <v>754992663.89984238</v>
      </c>
      <c r="Y228" s="38">
        <f t="shared" ref="Y228:AA228" si="362">+Y29+Y49+Y57+Y117+Y138+Y176+Y184+Y191+Y198+Y226</f>
        <v>2580371.3395413053</v>
      </c>
      <c r="Z228" s="38">
        <f t="shared" si="362"/>
        <v>327987.76061617496</v>
      </c>
      <c r="AA228" s="38">
        <f t="shared" si="362"/>
        <v>757901023</v>
      </c>
      <c r="AB228" s="72">
        <f t="shared" ref="AB228" si="363">$E228-AA228</f>
        <v>0</v>
      </c>
      <c r="AD228" s="76"/>
      <c r="AE228" s="38">
        <f t="shared" ref="AE228:AM228" ca="1" si="364">+AE29+AE49+AE57+AE117+AE138+AE176+AE184+AE191+AE198+AE226</f>
        <v>84683.753215519537</v>
      </c>
      <c r="AF228" s="38">
        <f t="shared" ca="1" si="364"/>
        <v>74786.051237147767</v>
      </c>
      <c r="AG228" s="38">
        <f t="shared" ca="1" si="364"/>
        <v>112723.37909032559</v>
      </c>
      <c r="AH228" s="38">
        <f t="shared" ca="1" si="364"/>
        <v>0</v>
      </c>
      <c r="AI228" s="38">
        <f t="shared" ca="1" si="364"/>
        <v>463795.02249923418</v>
      </c>
      <c r="AJ228" s="38">
        <f t="shared" ca="1" si="364"/>
        <v>0</v>
      </c>
      <c r="AK228" s="38">
        <f t="shared" ca="1" si="364"/>
        <v>0</v>
      </c>
      <c r="AL228" s="38">
        <f t="shared" ca="1" si="364"/>
        <v>0</v>
      </c>
      <c r="AM228" s="38">
        <f t="shared" ca="1" si="364"/>
        <v>757165034.79395771</v>
      </c>
      <c r="AO228" s="38">
        <f t="shared" ref="AO228:AQ228" ca="1" si="365">+AO29+AO49+AO57+AO117+AO138+AO176+AO184+AO191+AO198+AO226</f>
        <v>661202.15480507934</v>
      </c>
      <c r="AP228" s="38">
        <f t="shared" ca="1" si="365"/>
        <v>74786.051237147767</v>
      </c>
      <c r="AQ228" s="38">
        <f t="shared" ca="1" si="365"/>
        <v>757901023</v>
      </c>
      <c r="AR228" s="72">
        <f t="shared" ref="AR228" ca="1" si="366">$E228-AQ228</f>
        <v>0</v>
      </c>
    </row>
    <row r="229" spans="1:44" ht="15.75" thickTop="1" x14ac:dyDescent="0.25">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25">
      <c r="A230" s="118">
        <f t="shared" si="315"/>
        <v>222</v>
      </c>
      <c r="B230" s="35" t="s">
        <v>1</v>
      </c>
      <c r="C230" s="35"/>
      <c r="D230" s="34"/>
      <c r="E230" s="34"/>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25">
      <c r="A231" s="118">
        <f t="shared" si="315"/>
        <v>223</v>
      </c>
      <c r="B231" s="37"/>
      <c r="C231" s="37" t="s">
        <v>419</v>
      </c>
      <c r="D231" s="34" t="s">
        <v>743</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25">
      <c r="A232" s="118">
        <f t="shared" si="315"/>
        <v>224</v>
      </c>
      <c r="B232" s="37"/>
      <c r="C232" s="37" t="s">
        <v>412</v>
      </c>
      <c r="D232" s="34" t="s">
        <v>413</v>
      </c>
      <c r="E232" s="25">
        <v>14228189</v>
      </c>
      <c r="F232" s="8">
        <v>101</v>
      </c>
      <c r="G232" s="1">
        <f>VLOOKUP($F232,AF!$B$39:$M$80,G$9)*$E232</f>
        <v>0</v>
      </c>
      <c r="H232" s="1">
        <f>VLOOKUP($F232,AF!$B$39:$M$80,H$9)*$E232</f>
        <v>0</v>
      </c>
      <c r="I232" s="1">
        <f>VLOOKUP($F232,AF!$B$39:$M$80,I$9)*$E232</f>
        <v>0</v>
      </c>
      <c r="J232" s="1">
        <f>VLOOKUP($F232,AF!$B$39:$M$80,J$9)*$E232</f>
        <v>0</v>
      </c>
      <c r="K232" s="1">
        <f t="shared" si="367"/>
        <v>14228189</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14228189</v>
      </c>
      <c r="Y232" s="1">
        <f t="shared" si="370"/>
        <v>0</v>
      </c>
      <c r="Z232" s="1">
        <f t="shared" si="371"/>
        <v>0</v>
      </c>
      <c r="AA232" s="1">
        <f t="shared" si="372"/>
        <v>14228189</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14228189</v>
      </c>
      <c r="AO232" s="1">
        <f t="shared" si="375"/>
        <v>0</v>
      </c>
      <c r="AP232" s="1">
        <f t="shared" si="376"/>
        <v>0</v>
      </c>
      <c r="AQ232" s="1">
        <f t="shared" si="377"/>
        <v>14228189</v>
      </c>
      <c r="AR232" s="72">
        <f t="shared" si="378"/>
        <v>0</v>
      </c>
    </row>
    <row r="233" spans="1:44" x14ac:dyDescent="0.25">
      <c r="A233" s="118">
        <f t="shared" si="315"/>
        <v>225</v>
      </c>
      <c r="B233" s="34"/>
      <c r="C233" s="34" t="s">
        <v>75</v>
      </c>
      <c r="D233" s="34" t="s">
        <v>136</v>
      </c>
      <c r="E233" s="25">
        <v>23219499</v>
      </c>
      <c r="F233" s="8">
        <v>101</v>
      </c>
      <c r="G233" s="1">
        <f>VLOOKUP($F233,AF!$B$39:$M$80,G$9)*$E233</f>
        <v>0</v>
      </c>
      <c r="H233" s="1">
        <f>VLOOKUP($F233,AF!$B$39:$M$80,H$9)*$E233</f>
        <v>0</v>
      </c>
      <c r="I233" s="1">
        <f>VLOOKUP($F233,AF!$B$39:$M$80,I$9)*$E233</f>
        <v>0</v>
      </c>
      <c r="J233" s="1">
        <f>VLOOKUP($F233,AF!$B$39:$M$80,J$9)*$E233</f>
        <v>0</v>
      </c>
      <c r="K233" s="1">
        <f t="shared" si="367"/>
        <v>23219499</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23219499</v>
      </c>
      <c r="Y233" s="1">
        <f t="shared" si="370"/>
        <v>0</v>
      </c>
      <c r="Z233" s="1">
        <f t="shared" si="371"/>
        <v>0</v>
      </c>
      <c r="AA233" s="1">
        <f t="shared" si="372"/>
        <v>23219499</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23219499</v>
      </c>
      <c r="AO233" s="1">
        <f t="shared" si="375"/>
        <v>0</v>
      </c>
      <c r="AP233" s="1">
        <f t="shared" si="376"/>
        <v>0</v>
      </c>
      <c r="AQ233" s="1">
        <f t="shared" si="377"/>
        <v>23219499</v>
      </c>
      <c r="AR233" s="72">
        <f t="shared" si="378"/>
        <v>0</v>
      </c>
    </row>
    <row r="234" spans="1:44" x14ac:dyDescent="0.25">
      <c r="A234" s="118">
        <f t="shared" si="315"/>
        <v>226</v>
      </c>
      <c r="B234" s="34"/>
      <c r="C234" s="34" t="s">
        <v>79</v>
      </c>
      <c r="D234" s="34" t="s">
        <v>418</v>
      </c>
      <c r="E234" s="25">
        <f>1587108-E235-E236</f>
        <v>410800.99</v>
      </c>
      <c r="F234" s="8">
        <v>101</v>
      </c>
      <c r="G234" s="1">
        <f>VLOOKUP($F234,AF!$B$39:$M$80,G$9)*$E234</f>
        <v>0</v>
      </c>
      <c r="H234" s="1">
        <f>VLOOKUP($F234,AF!$B$39:$M$80,H$9)*$E234</f>
        <v>0</v>
      </c>
      <c r="I234" s="1">
        <f>VLOOKUP($F234,AF!$B$39:$M$80,I$9)*$E234</f>
        <v>0</v>
      </c>
      <c r="J234" s="1">
        <f>VLOOKUP($F234,AF!$B$39:$M$80,J$9)*$E234</f>
        <v>0</v>
      </c>
      <c r="K234" s="1">
        <f t="shared" si="367"/>
        <v>410800.99</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410800.99</v>
      </c>
      <c r="Y234" s="1">
        <f t="shared" si="370"/>
        <v>0</v>
      </c>
      <c r="Z234" s="1">
        <f t="shared" si="371"/>
        <v>0</v>
      </c>
      <c r="AA234" s="1">
        <f t="shared" si="372"/>
        <v>410800.99</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410800.99</v>
      </c>
      <c r="AO234" s="1">
        <f t="shared" si="375"/>
        <v>0</v>
      </c>
      <c r="AP234" s="1">
        <f t="shared" si="376"/>
        <v>0</v>
      </c>
      <c r="AQ234" s="1">
        <f t="shared" si="377"/>
        <v>410800.99</v>
      </c>
      <c r="AR234" s="72">
        <f t="shared" si="378"/>
        <v>0</v>
      </c>
    </row>
    <row r="235" spans="1:44" x14ac:dyDescent="0.25">
      <c r="A235" s="118">
        <f t="shared" si="315"/>
        <v>227</v>
      </c>
      <c r="B235" s="34"/>
      <c r="C235" s="34" t="s">
        <v>717</v>
      </c>
      <c r="D235" s="34"/>
      <c r="E235" s="17">
        <f>SUM(G235:K235)</f>
        <v>997061.18</v>
      </c>
      <c r="F235" s="8">
        <v>100</v>
      </c>
      <c r="G235" s="20">
        <v>54169.53</v>
      </c>
      <c r="H235" s="20">
        <v>401013.63</v>
      </c>
      <c r="I235" s="20">
        <v>415545.68</v>
      </c>
      <c r="J235" s="20">
        <v>0</v>
      </c>
      <c r="K235" s="20">
        <f>82611+19311.46+24409.88</f>
        <v>126332.34</v>
      </c>
      <c r="L235" s="72">
        <f t="shared" si="368"/>
        <v>0</v>
      </c>
      <c r="N235" s="8">
        <v>202</v>
      </c>
      <c r="O235" s="1">
        <f>VLOOKUP($N235,AF!$B$39:$M$80,O$9)*$G235</f>
        <v>42018.456001926061</v>
      </c>
      <c r="P235" s="1">
        <f>VLOOKUP($N235,AF!$B$39:$M$80,P$9)*$G235</f>
        <v>12151.073998073938</v>
      </c>
      <c r="Q235" s="1">
        <f>VLOOKUP($N235,AF!$B$39:$M$80,Q$9)*$H235</f>
        <v>401013.63</v>
      </c>
      <c r="R235" s="1">
        <f>VLOOKUP($N235,AF!$B$39:$M$80,R$9)*$H235</f>
        <v>0</v>
      </c>
      <c r="S235" s="1">
        <f>VLOOKUP($N235,AF!$B$39:$M$80,S$9)*$I235</f>
        <v>415545.68</v>
      </c>
      <c r="T235" s="1">
        <f>VLOOKUP($N235,AF!$B$39:$M$80,T$9)*$I235</f>
        <v>0</v>
      </c>
      <c r="U235" s="1">
        <f>VLOOKUP($N235,AF!$B$39:$M$80,U$9)*$J235</f>
        <v>0</v>
      </c>
      <c r="V235" s="1">
        <f>VLOOKUP($N235,AF!$B$39:$M$80,V$9)*$J235</f>
        <v>0</v>
      </c>
      <c r="W235" s="1">
        <f t="shared" si="369"/>
        <v>126332.33999999997</v>
      </c>
      <c r="Y235" s="1">
        <f t="shared" si="370"/>
        <v>858577.76600192604</v>
      </c>
      <c r="Z235" s="1">
        <f t="shared" si="371"/>
        <v>12151.073998073938</v>
      </c>
      <c r="AA235" s="1">
        <f t="shared" si="372"/>
        <v>997061.17999999993</v>
      </c>
      <c r="AB235" s="72">
        <f t="shared" si="373"/>
        <v>0</v>
      </c>
      <c r="AD235" s="72">
        <v>300</v>
      </c>
      <c r="AE235" s="1">
        <f>VLOOKUP($AD235,AF!$B$39:$M$80,AE$9)*$O235</f>
        <v>42018.456001926061</v>
      </c>
      <c r="AF235" s="1">
        <f>VLOOKUP($AD235,AF!$B$39:$M$80,AF$9)*$P235</f>
        <v>12151.073998073938</v>
      </c>
      <c r="AG235" s="1">
        <f>VLOOKUP($AD235,AF!$B$39:$M$80,AG$9)*$Q235</f>
        <v>401013.63</v>
      </c>
      <c r="AH235" s="1">
        <f>VLOOKUP($AD235,AF!$B$39:$M$80,AH$9)*$R235</f>
        <v>0</v>
      </c>
      <c r="AI235" s="1">
        <f>VLOOKUP($AD235,AF!$B$39:$M$80,AI$9)*$S235</f>
        <v>415545.68</v>
      </c>
      <c r="AJ235" s="1">
        <f>VLOOKUP($AD235,AF!$B$39:$M$80,AJ$9)*$T235</f>
        <v>0</v>
      </c>
      <c r="AK235" s="1">
        <f>VLOOKUP($AD235,AF!$B$39:$M$80,AK$9)*$U235</f>
        <v>0</v>
      </c>
      <c r="AL235" s="1">
        <f>VLOOKUP($AD235,AF!$B$39:$M$80,AL$9)*$V235</f>
        <v>0</v>
      </c>
      <c r="AM235" s="1">
        <f t="shared" si="374"/>
        <v>126332.33999999997</v>
      </c>
      <c r="AO235" s="1">
        <f t="shared" si="375"/>
        <v>858577.76600192604</v>
      </c>
      <c r="AP235" s="1">
        <f t="shared" si="376"/>
        <v>12151.073998073938</v>
      </c>
      <c r="AQ235" s="1">
        <f t="shared" si="377"/>
        <v>997061.17999999993</v>
      </c>
      <c r="AR235" s="72">
        <f t="shared" si="378"/>
        <v>0</v>
      </c>
    </row>
    <row r="236" spans="1:44" x14ac:dyDescent="0.25">
      <c r="A236" s="147">
        <f t="shared" si="315"/>
        <v>228</v>
      </c>
      <c r="B236" s="34"/>
      <c r="C236" s="34" t="s">
        <v>842</v>
      </c>
      <c r="D236" s="34"/>
      <c r="E236" s="25">
        <v>179245.83</v>
      </c>
      <c r="F236" s="8">
        <v>102</v>
      </c>
      <c r="G236" s="1">
        <f>VLOOKUP($F236,AF!$B$39:$M$80,G$9)*$E236</f>
        <v>2822.7689763779526</v>
      </c>
      <c r="H236" s="1">
        <f>VLOOKUP($F236,AF!$B$39:$M$80,H$9)*$E236</f>
        <v>2352.3074803149602</v>
      </c>
      <c r="I236" s="1">
        <f>VLOOKUP($F236,AF!$B$39:$M$80,I$9)*$E236</f>
        <v>7527.3839370078731</v>
      </c>
      <c r="J236" s="1">
        <f>VLOOKUP($F236,AF!$B$39:$M$80,J$9)*$E236</f>
        <v>0</v>
      </c>
      <c r="K236" s="1">
        <f t="shared" ref="K236" si="379">E236-SUM(G236:J236)</f>
        <v>166543.36960629921</v>
      </c>
      <c r="L236" s="72"/>
      <c r="N236" s="8">
        <v>204</v>
      </c>
      <c r="O236" s="1">
        <f>VLOOKUP($N236,AF!$B$39:$M$80,O$9)*$G236</f>
        <v>470.46149606299207</v>
      </c>
      <c r="P236" s="1">
        <f>VLOOKUP($N236,AF!$B$39:$M$80,P$9)*$G236</f>
        <v>2352.3074803149607</v>
      </c>
      <c r="Q236" s="1">
        <f>VLOOKUP($N236,AF!$B$39:$M$80,Q$9)*$H236</f>
        <v>2352.3074803149602</v>
      </c>
      <c r="R236" s="1">
        <f>VLOOKUP($N236,AF!$B$39:$M$80,R$9)*$H236</f>
        <v>0</v>
      </c>
      <c r="S236" s="1">
        <f>VLOOKUP($N236,AF!$B$39:$M$80,S$9)*$I236</f>
        <v>7527.3839370078731</v>
      </c>
      <c r="T236" s="1">
        <f>VLOOKUP($N236,AF!$B$39:$M$80,T$9)*$I236</f>
        <v>0</v>
      </c>
      <c r="U236" s="1">
        <f>VLOOKUP($N236,AF!$B$39:$M$80,U$9)*$J236</f>
        <v>0</v>
      </c>
      <c r="V236" s="1">
        <f>VLOOKUP($N236,AF!$B$39:$M$80,V$9)*$J236</f>
        <v>0</v>
      </c>
      <c r="W236" s="1">
        <f t="shared" ref="W236" si="380">E236-SUM(O236:V236)</f>
        <v>166543.36960629921</v>
      </c>
      <c r="Y236" s="1">
        <f t="shared" si="370"/>
        <v>10350.152913385826</v>
      </c>
      <c r="Z236" s="1">
        <f t="shared" si="371"/>
        <v>2352.3074803149607</v>
      </c>
      <c r="AA236" s="1">
        <f t="shared" si="372"/>
        <v>179245.83</v>
      </c>
      <c r="AB236" s="72"/>
      <c r="AD236" s="72">
        <v>305</v>
      </c>
      <c r="AE236" s="1">
        <f ca="1">VLOOKUP($AD236,AF!$B$39:$M$80,AE$9)*$O236</f>
        <v>368.11087358903819</v>
      </c>
      <c r="AF236" s="1">
        <f ca="1">VLOOKUP($AD236,AF!$B$39:$M$80,AF$9)*$P236</f>
        <v>649.63219955279669</v>
      </c>
      <c r="AG236" s="1">
        <f ca="1">VLOOKUP($AD236,AF!$B$39:$M$80,AG$9)*$Q236</f>
        <v>1436.6456218359592</v>
      </c>
      <c r="AH236" s="1">
        <f ca="1">VLOOKUP($AD236,AF!$B$39:$M$80,AH$9)*$R236</f>
        <v>0</v>
      </c>
      <c r="AI236" s="1">
        <f ca="1">VLOOKUP($AD236,AF!$B$39:$M$80,AI$9)*$S236</f>
        <v>2203.961078628317</v>
      </c>
      <c r="AJ236" s="1">
        <f ca="1">VLOOKUP($AD236,AF!$B$39:$M$80,AJ$9)*$T236</f>
        <v>0</v>
      </c>
      <c r="AK236" s="1">
        <f ca="1">VLOOKUP($AD236,AF!$B$39:$M$80,AK$9)*$U236</f>
        <v>0</v>
      </c>
      <c r="AL236" s="1">
        <f ca="1">VLOOKUP($AD236,AF!$B$39:$M$80,AL$9)*$V236</f>
        <v>0</v>
      </c>
      <c r="AM236" s="1">
        <f t="shared" ref="AM236" ca="1" si="381">E236-SUM(AE236:AL236)</f>
        <v>174587.48022639388</v>
      </c>
      <c r="AO236" s="1">
        <f t="shared" ca="1" si="375"/>
        <v>4008.7175740533144</v>
      </c>
      <c r="AP236" s="1">
        <f t="shared" ca="1" si="376"/>
        <v>649.63219955279669</v>
      </c>
      <c r="AQ236" s="1">
        <f t="shared" ca="1" si="377"/>
        <v>179245.83</v>
      </c>
      <c r="AR236" s="72"/>
    </row>
    <row r="237" spans="1:44" x14ac:dyDescent="0.25">
      <c r="A237" s="147">
        <f t="shared" si="315"/>
        <v>229</v>
      </c>
      <c r="B237" s="34"/>
      <c r="C237" s="34" t="s">
        <v>414</v>
      </c>
      <c r="D237" s="34" t="s">
        <v>415</v>
      </c>
      <c r="E237" s="25">
        <f>2490683-E238</f>
        <v>7.0000000298023224E-2</v>
      </c>
      <c r="F237" s="8">
        <v>101</v>
      </c>
      <c r="G237" s="1">
        <f>VLOOKUP($F237,AF!$B$39:$M$80,G$9)*$E237</f>
        <v>0</v>
      </c>
      <c r="H237" s="1">
        <f>VLOOKUP($F237,AF!$B$39:$M$80,H$9)*$E237</f>
        <v>0</v>
      </c>
      <c r="I237" s="1">
        <f>VLOOKUP($F237,AF!$B$39:$M$80,I$9)*$E237</f>
        <v>0</v>
      </c>
      <c r="J237" s="1">
        <f>VLOOKUP($F237,AF!$B$39:$M$80,J$9)*$E237</f>
        <v>0</v>
      </c>
      <c r="K237" s="1">
        <f t="shared" ref="K237" si="382">E237-SUM(G237:J237)</f>
        <v>7.0000000298023224E-2</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7.0000000298023224E-2</v>
      </c>
      <c r="Y237" s="1">
        <f t="shared" si="370"/>
        <v>0</v>
      </c>
      <c r="Z237" s="1">
        <f t="shared" si="371"/>
        <v>0</v>
      </c>
      <c r="AA237" s="1">
        <f t="shared" si="372"/>
        <v>7.0000000298023224E-2</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7.0000000298023224E-2</v>
      </c>
      <c r="AO237" s="1">
        <f t="shared" si="375"/>
        <v>0</v>
      </c>
      <c r="AP237" s="1">
        <f t="shared" si="376"/>
        <v>0</v>
      </c>
      <c r="AQ237" s="1">
        <f t="shared" si="377"/>
        <v>7.0000000298023224E-2</v>
      </c>
      <c r="AR237" s="72">
        <f t="shared" si="378"/>
        <v>0</v>
      </c>
    </row>
    <row r="238" spans="1:44" x14ac:dyDescent="0.25">
      <c r="A238" s="147">
        <f t="shared" si="315"/>
        <v>230</v>
      </c>
      <c r="B238" s="34"/>
      <c r="C238" s="34" t="s">
        <v>718</v>
      </c>
      <c r="D238" s="34"/>
      <c r="E238" s="17">
        <f>SUM(G238:K238)</f>
        <v>2490682.9299999997</v>
      </c>
      <c r="F238" s="8">
        <v>100</v>
      </c>
      <c r="G238" s="20">
        <v>91521.99</v>
      </c>
      <c r="H238" s="20">
        <v>296602.42</v>
      </c>
      <c r="I238" s="20">
        <v>1457682.35</v>
      </c>
      <c r="J238" s="20">
        <v>0</v>
      </c>
      <c r="K238" s="20">
        <f>1421.58+207728.03+435726.56</f>
        <v>644876.16999999993</v>
      </c>
      <c r="L238" s="72">
        <f t="shared" si="368"/>
        <v>0</v>
      </c>
      <c r="N238" s="8">
        <v>203</v>
      </c>
      <c r="O238" s="1">
        <f>VLOOKUP($N238,AF!$B$39:$M$80,O$9)*$G238</f>
        <v>21063.335040169746</v>
      </c>
      <c r="P238" s="1">
        <f>VLOOKUP($N238,AF!$B$39:$M$80,P$9)*$G238</f>
        <v>70458.654959830266</v>
      </c>
      <c r="Q238" s="1">
        <f>VLOOKUP($N238,AF!$B$39:$M$80,Q$9)*$H238</f>
        <v>296602.42</v>
      </c>
      <c r="R238" s="1">
        <f>VLOOKUP($N238,AF!$B$39:$M$80,R$9)*$H238</f>
        <v>0</v>
      </c>
      <c r="S238" s="1">
        <f>VLOOKUP($N238,AF!$B$39:$M$80,S$9)*$I238</f>
        <v>1457682.35</v>
      </c>
      <c r="T238" s="1">
        <f>VLOOKUP($N238,AF!$B$39:$M$80,T$9)*$I238</f>
        <v>0</v>
      </c>
      <c r="U238" s="1">
        <f>VLOOKUP($N238,AF!$B$39:$M$80,U$9)*$J238</f>
        <v>0</v>
      </c>
      <c r="V238" s="1">
        <f>VLOOKUP($N238,AF!$B$39:$M$80,V$9)*$J238</f>
        <v>0</v>
      </c>
      <c r="W238" s="1">
        <f t="shared" si="369"/>
        <v>644876.16999999946</v>
      </c>
      <c r="Y238" s="1">
        <f t="shared" si="370"/>
        <v>1775348.1050401698</v>
      </c>
      <c r="Z238" s="1">
        <f t="shared" si="371"/>
        <v>70458.654959830266</v>
      </c>
      <c r="AA238" s="1">
        <f t="shared" si="372"/>
        <v>2490682.9299999997</v>
      </c>
      <c r="AB238" s="72">
        <f t="shared" si="373"/>
        <v>0</v>
      </c>
      <c r="AD238" s="72">
        <v>301</v>
      </c>
      <c r="AE238" s="1">
        <f>VLOOKUP($AD238,AF!$B$39:$M$80,AE$9)*$O238</f>
        <v>1906.231821135362</v>
      </c>
      <c r="AF238" s="1">
        <f>VLOOKUP($AD238,AF!$B$39:$M$80,AF$9)*$P238</f>
        <v>6376.5082738646388</v>
      </c>
      <c r="AG238" s="1">
        <f>VLOOKUP($AD238,AF!$B$39:$M$80,AG$9)*$Q238</f>
        <v>26842.519009999996</v>
      </c>
      <c r="AH238" s="1">
        <f>VLOOKUP($AD238,AF!$B$39:$M$80,AH$9)*$R238</f>
        <v>0</v>
      </c>
      <c r="AI238" s="1">
        <f>VLOOKUP($AD238,AF!$B$39:$M$80,AI$9)*$S238</f>
        <v>131920.252675</v>
      </c>
      <c r="AJ238" s="1">
        <f>VLOOKUP($AD238,AF!$B$39:$M$80,AJ$9)*$T238</f>
        <v>0</v>
      </c>
      <c r="AK238" s="1">
        <f>VLOOKUP($AD238,AF!$B$39:$M$80,AK$9)*$U238</f>
        <v>0</v>
      </c>
      <c r="AL238" s="1">
        <f>VLOOKUP($AD238,AF!$B$39:$M$80,AL$9)*$V238</f>
        <v>0</v>
      </c>
      <c r="AM238" s="1">
        <f t="shared" si="374"/>
        <v>2323637.4182199999</v>
      </c>
      <c r="AO238" s="1">
        <f t="shared" si="375"/>
        <v>160669.00350613537</v>
      </c>
      <c r="AP238" s="1">
        <f t="shared" si="376"/>
        <v>6376.5082738646388</v>
      </c>
      <c r="AQ238" s="1">
        <f t="shared" si="377"/>
        <v>2490682.9299999997</v>
      </c>
      <c r="AR238" s="72">
        <f t="shared" si="378"/>
        <v>0</v>
      </c>
    </row>
    <row r="239" spans="1:44" x14ac:dyDescent="0.25">
      <c r="A239" s="147">
        <f t="shared" si="315"/>
        <v>231</v>
      </c>
      <c r="B239" s="34"/>
      <c r="C239" s="34" t="s">
        <v>416</v>
      </c>
      <c r="D239" s="34" t="s">
        <v>417</v>
      </c>
      <c r="E239" s="25"/>
      <c r="F239" s="8">
        <v>101</v>
      </c>
      <c r="G239" s="1">
        <f>VLOOKUP($F239,AF!$B$39:$M$80,G$9)*$E239</f>
        <v>0</v>
      </c>
      <c r="H239" s="1">
        <f>VLOOKUP($F239,AF!$B$39:$M$80,H$9)*$E239</f>
        <v>0</v>
      </c>
      <c r="I239" s="1">
        <f>VLOOKUP($F239,AF!$B$39:$M$80,I$9)*$E239</f>
        <v>0</v>
      </c>
      <c r="J239" s="1">
        <f>VLOOKUP($F239,AF!$B$39:$M$80,J$9)*$E239</f>
        <v>0</v>
      </c>
      <c r="K239" s="1">
        <f t="shared" ref="K239:K241" si="383">E239-SUM(G239:J239)</f>
        <v>0</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0</v>
      </c>
      <c r="Y239" s="1">
        <f t="shared" si="370"/>
        <v>0</v>
      </c>
      <c r="Z239" s="1">
        <f t="shared" si="371"/>
        <v>0</v>
      </c>
      <c r="AA239" s="1">
        <f t="shared" si="372"/>
        <v>0</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0</v>
      </c>
      <c r="AO239" s="1">
        <f t="shared" si="375"/>
        <v>0</v>
      </c>
      <c r="AP239" s="1">
        <f t="shared" si="376"/>
        <v>0</v>
      </c>
      <c r="AQ239" s="1">
        <f t="shared" si="377"/>
        <v>0</v>
      </c>
      <c r="AR239" s="72">
        <f t="shared" si="378"/>
        <v>0</v>
      </c>
    </row>
    <row r="240" spans="1:44" x14ac:dyDescent="0.25">
      <c r="A240" s="147">
        <f t="shared" si="315"/>
        <v>232</v>
      </c>
      <c r="B240" s="34"/>
      <c r="C240" s="34" t="s">
        <v>85</v>
      </c>
      <c r="D240" s="34" t="s">
        <v>137</v>
      </c>
      <c r="E240" s="25">
        <f>2187580-E241</f>
        <v>2187580</v>
      </c>
      <c r="F240" s="8">
        <v>101</v>
      </c>
      <c r="G240" s="31">
        <f>VLOOKUP($F240,AF!$B$39:$M$80,G$9)*$E240</f>
        <v>0</v>
      </c>
      <c r="H240" s="31">
        <f>VLOOKUP($F240,AF!$B$39:$M$80,H$9)*$E240</f>
        <v>0</v>
      </c>
      <c r="I240" s="31">
        <f>VLOOKUP($F240,AF!$B$39:$M$80,I$9)*$E240</f>
        <v>0</v>
      </c>
      <c r="J240" s="31">
        <f>VLOOKUP($F240,AF!$B$39:$M$80,J$9)*$E240</f>
        <v>0</v>
      </c>
      <c r="K240" s="1">
        <f t="shared" si="383"/>
        <v>2187580</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2187580</v>
      </c>
      <c r="Y240" s="1">
        <f t="shared" si="370"/>
        <v>0</v>
      </c>
      <c r="Z240" s="1">
        <f t="shared" si="371"/>
        <v>0</v>
      </c>
      <c r="AA240" s="1">
        <f t="shared" si="372"/>
        <v>2187580</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2187580</v>
      </c>
      <c r="AO240" s="1">
        <f t="shared" si="375"/>
        <v>0</v>
      </c>
      <c r="AP240" s="1">
        <f t="shared" si="376"/>
        <v>0</v>
      </c>
      <c r="AQ240" s="1">
        <f t="shared" si="377"/>
        <v>2187580</v>
      </c>
      <c r="AR240" s="72">
        <f t="shared" si="378"/>
        <v>0</v>
      </c>
    </row>
    <row r="241" spans="1:44" x14ac:dyDescent="0.25">
      <c r="A241" s="147">
        <f t="shared" si="315"/>
        <v>233</v>
      </c>
      <c r="B241" s="34"/>
      <c r="C241" s="37" t="s">
        <v>719</v>
      </c>
      <c r="D241" s="37" t="s">
        <v>241</v>
      </c>
      <c r="E241" s="28"/>
      <c r="F241" s="72">
        <v>106</v>
      </c>
      <c r="G241" s="31">
        <f>VLOOKUP($F241,AF!$B$39:$M$80,G$9)*$E241</f>
        <v>0</v>
      </c>
      <c r="H241" s="31">
        <f>VLOOKUP($F241,AF!$B$39:$M$80,H$9)*$E241</f>
        <v>0</v>
      </c>
      <c r="I241" s="31">
        <f>VLOOKUP($F241,AF!$B$39:$M$80,I$9)*$E241</f>
        <v>0</v>
      </c>
      <c r="J241" s="31">
        <f>VLOOKUP($F241,AF!$B$39:$M$80,J$9)*$E241</f>
        <v>0</v>
      </c>
      <c r="K241" s="31">
        <f t="shared" si="383"/>
        <v>0</v>
      </c>
      <c r="L241" s="72">
        <f t="shared" si="368"/>
        <v>0</v>
      </c>
      <c r="M241" s="2"/>
      <c r="N241" s="72">
        <v>204</v>
      </c>
      <c r="O241" s="31">
        <f>VLOOKUP($N241,AF!$B$39:$M$80,O$9)*$G241</f>
        <v>0</v>
      </c>
      <c r="P241" s="31">
        <f>VLOOKUP($N241,AF!$B$39:$M$80,P$9)*$G241</f>
        <v>0</v>
      </c>
      <c r="Q241" s="31">
        <f>VLOOKUP($N241,AF!$B$39:$M$80,Q$9)*$H241</f>
        <v>0</v>
      </c>
      <c r="R241" s="31">
        <f>VLOOKUP($N241,AF!$B$39:$M$80,R$9)*$H241</f>
        <v>0</v>
      </c>
      <c r="S241" s="31">
        <f>VLOOKUP($N241,AF!$B$39:$M$80,S$9)*$I241</f>
        <v>0</v>
      </c>
      <c r="T241" s="31">
        <f>VLOOKUP($N241,AF!$B$39:$M$80,T$9)*$I241</f>
        <v>0</v>
      </c>
      <c r="U241" s="31">
        <f>VLOOKUP($N241,AF!$B$39:$M$80,U$9)*$J241</f>
        <v>0</v>
      </c>
      <c r="V241" s="31">
        <f>VLOOKUP($N241,AF!$B$39:$M$80,V$9)*$J241</f>
        <v>0</v>
      </c>
      <c r="W241" s="31">
        <f t="shared" si="369"/>
        <v>0</v>
      </c>
      <c r="X241" s="2"/>
      <c r="Y241" s="31">
        <f t="shared" si="370"/>
        <v>0</v>
      </c>
      <c r="Z241" s="31">
        <f t="shared" si="371"/>
        <v>0</v>
      </c>
      <c r="AA241" s="31">
        <f t="shared" si="372"/>
        <v>0</v>
      </c>
      <c r="AB241" s="72">
        <f t="shared" si="373"/>
        <v>0</v>
      </c>
      <c r="AD241" s="72">
        <v>306</v>
      </c>
      <c r="AE241" s="31">
        <f>VLOOKUP($AD241,AF!$B$39:$M$80,AE$9)*$O241</f>
        <v>0</v>
      </c>
      <c r="AF241" s="31">
        <f>VLOOKUP($AD241,AF!$B$39:$M$80,AF$9)*$P241</f>
        <v>0</v>
      </c>
      <c r="AG241" s="31">
        <f>VLOOKUP($AD241,AF!$B$39:$M$80,AG$9)*$Q241</f>
        <v>0</v>
      </c>
      <c r="AH241" s="31">
        <f>VLOOKUP($AD241,AF!$B$39:$M$80,AH$9)*$R241</f>
        <v>0</v>
      </c>
      <c r="AI241" s="31">
        <f>VLOOKUP($AD241,AF!$B$39:$M$80,AI$9)*$S241</f>
        <v>0</v>
      </c>
      <c r="AJ241" s="31">
        <f>VLOOKUP($AD241,AF!$B$39:$M$80,AJ$9)*$T241</f>
        <v>0</v>
      </c>
      <c r="AK241" s="31">
        <f>VLOOKUP($AD241,AF!$B$39:$M$80,AK$9)*$U241</f>
        <v>0</v>
      </c>
      <c r="AL241" s="31">
        <f>VLOOKUP($AD241,AF!$B$39:$M$80,AL$9)*$V241</f>
        <v>0</v>
      </c>
      <c r="AM241" s="31">
        <f t="shared" si="374"/>
        <v>0</v>
      </c>
      <c r="AO241" s="31">
        <f t="shared" si="375"/>
        <v>0</v>
      </c>
      <c r="AP241" s="31">
        <f t="shared" si="376"/>
        <v>0</v>
      </c>
      <c r="AQ241" s="31">
        <f t="shared" si="377"/>
        <v>0</v>
      </c>
      <c r="AR241" s="72">
        <f t="shared" si="378"/>
        <v>0</v>
      </c>
    </row>
    <row r="242" spans="1:44" x14ac:dyDescent="0.25">
      <c r="A242" s="147">
        <f t="shared" si="315"/>
        <v>234</v>
      </c>
      <c r="B242" s="34"/>
      <c r="C242" s="34" t="s">
        <v>777</v>
      </c>
      <c r="D242" s="34" t="s">
        <v>847</v>
      </c>
      <c r="E242" s="28">
        <v>3973459</v>
      </c>
      <c r="F242" s="8">
        <v>100</v>
      </c>
      <c r="G242" s="162">
        <v>42922.559999999998</v>
      </c>
      <c r="H242" s="162">
        <v>21281.040000000001</v>
      </c>
      <c r="I242" s="162">
        <f>VLOOKUP($F242,AF!$B$39:$M$80,I$9)*$E242</f>
        <v>0</v>
      </c>
      <c r="J242" s="162">
        <f>VLOOKUP($F242,AF!$B$39:$M$80,J$9)*$E242</f>
        <v>0</v>
      </c>
      <c r="K242" s="162">
        <f>25038.24+23628.72+7081.2</f>
        <v>55748.160000000003</v>
      </c>
      <c r="L242" s="72"/>
      <c r="N242" s="8">
        <v>204</v>
      </c>
      <c r="O242" s="31">
        <f>VLOOKUP($N242,AF!$B$39:$M$80,O$9)*$G242</f>
        <v>7153.7599999999993</v>
      </c>
      <c r="P242" s="31">
        <f>VLOOKUP($N242,AF!$B$39:$M$80,P$9)*$G242</f>
        <v>35768.800000000003</v>
      </c>
      <c r="Q242" s="31">
        <f>VLOOKUP($N242,AF!$B$39:$M$80,Q$9)*$H242</f>
        <v>21281.040000000001</v>
      </c>
      <c r="R242" s="31">
        <f>VLOOKUP($N242,AF!$B$39:$M$80,R$9)*$H242</f>
        <v>0</v>
      </c>
      <c r="S242" s="31">
        <f>VLOOKUP($N242,AF!$B$39:$M$80,S$9)*$I242</f>
        <v>0</v>
      </c>
      <c r="T242" s="31">
        <f>VLOOKUP($N242,AF!$B$39:$M$80,T$9)*$I242</f>
        <v>0</v>
      </c>
      <c r="U242" s="31">
        <f>VLOOKUP($N242,AF!$B$39:$M$80,U$9)*$J242</f>
        <v>0</v>
      </c>
      <c r="V242" s="31">
        <f>VLOOKUP($N242,AF!$B$39:$M$80,V$9)*$J242</f>
        <v>0</v>
      </c>
      <c r="W242" s="31">
        <f t="shared" ref="W242:W243" si="384">E242-SUM(O242:V242)</f>
        <v>3909255.4</v>
      </c>
      <c r="Y242" s="31">
        <f t="shared" ref="Y242:Y243" si="385">+O242+Q242+S242+U242</f>
        <v>28434.799999999999</v>
      </c>
      <c r="Z242" s="31">
        <f t="shared" ref="Z242:Z243" si="386">+P242+R242+T242+V242</f>
        <v>35768.800000000003</v>
      </c>
      <c r="AA242" s="31">
        <f t="shared" ref="AA242:AA243" si="387">+Z242+Y242+W242</f>
        <v>3973459</v>
      </c>
      <c r="AB242" s="72"/>
      <c r="AD242" s="72">
        <v>306</v>
      </c>
      <c r="AE242" s="31">
        <f>VLOOKUP($AD242,AF!$B$39:$M$80,AE$9)*$O242</f>
        <v>5600.3294729316876</v>
      </c>
      <c r="AF242" s="31">
        <f>VLOOKUP($AD242,AF!$B$39:$M$80,AF$9)*$P242</f>
        <v>10245.084248704488</v>
      </c>
      <c r="AG242" s="31">
        <f>VLOOKUP($AD242,AF!$B$39:$M$80,AG$9)*$Q242</f>
        <v>13020.894020490281</v>
      </c>
      <c r="AH242" s="31">
        <f>VLOOKUP($AD242,AF!$B$39:$M$80,AH$9)*$R242</f>
        <v>0</v>
      </c>
      <c r="AI242" s="31">
        <f>VLOOKUP($AD242,AF!$B$39:$M$80,AI$9)*$S242</f>
        <v>0</v>
      </c>
      <c r="AJ242" s="31">
        <f>VLOOKUP($AD242,AF!$B$39:$M$80,AJ$9)*$T242</f>
        <v>0</v>
      </c>
      <c r="AK242" s="31">
        <f>VLOOKUP($AD242,AF!$B$39:$M$80,AK$9)*$U242</f>
        <v>0</v>
      </c>
      <c r="AL242" s="31">
        <f>VLOOKUP($AD242,AF!$B$39:$M$80,AL$9)*$V242</f>
        <v>0</v>
      </c>
      <c r="AM242" s="31">
        <f t="shared" ref="AM242:AM243" si="388">E242-SUM(AE242:AL242)</f>
        <v>3944592.6922578737</v>
      </c>
      <c r="AO242" s="31">
        <f t="shared" ref="AO242:AO243" si="389">+AE242+AG242+AI242+AK242</f>
        <v>18621.223493421967</v>
      </c>
      <c r="AP242" s="31">
        <f t="shared" ref="AP242:AP243" si="390">+AF242+AH242+AJ242+AL242</f>
        <v>10245.084248704488</v>
      </c>
      <c r="AQ242" s="31">
        <f t="shared" ref="AQ242:AQ243" si="391">+AP242+AO242+AM242</f>
        <v>3973459</v>
      </c>
      <c r="AR242" s="72">
        <f t="shared" si="378"/>
        <v>0</v>
      </c>
    </row>
    <row r="243" spans="1:44" x14ac:dyDescent="0.25">
      <c r="A243" s="147">
        <f t="shared" si="315"/>
        <v>235</v>
      </c>
      <c r="B243" s="34"/>
      <c r="C243" s="34" t="s">
        <v>778</v>
      </c>
      <c r="D243" s="34" t="s">
        <v>848</v>
      </c>
      <c r="E243" s="26">
        <v>120689883</v>
      </c>
      <c r="F243" s="8">
        <v>100</v>
      </c>
      <c r="G243" s="164">
        <v>0</v>
      </c>
      <c r="H243" s="164">
        <v>0</v>
      </c>
      <c r="I243" s="164">
        <v>-28453.08</v>
      </c>
      <c r="J243" s="164">
        <f>VLOOKUP($F243,AF!$B$39:$M$80,J$9)*$E243</f>
        <v>0</v>
      </c>
      <c r="K243" s="164">
        <v>0</v>
      </c>
      <c r="L243" s="72"/>
      <c r="N243" s="8">
        <v>204</v>
      </c>
      <c r="O243" s="133">
        <f>VLOOKUP($N243,AF!$B$39:$M$80,O$9)*$G243</f>
        <v>0</v>
      </c>
      <c r="P243" s="133">
        <f>VLOOKUP($N243,AF!$B$39:$M$80,P$9)*$G243</f>
        <v>0</v>
      </c>
      <c r="Q243" s="133">
        <f>VLOOKUP($N243,AF!$B$39:$M$80,Q$9)*$H243</f>
        <v>0</v>
      </c>
      <c r="R243" s="133">
        <f>VLOOKUP($N243,AF!$B$39:$M$80,R$9)*$H243</f>
        <v>0</v>
      </c>
      <c r="S243" s="133">
        <f>VLOOKUP($N243,AF!$B$39:$M$80,S$9)*$I243</f>
        <v>-28453.08</v>
      </c>
      <c r="T243" s="133">
        <f>VLOOKUP($N243,AF!$B$39:$M$80,T$9)*$I243</f>
        <v>0</v>
      </c>
      <c r="U243" s="133">
        <f>VLOOKUP($N243,AF!$B$39:$M$80,U$9)*$J243</f>
        <v>0</v>
      </c>
      <c r="V243" s="133">
        <f>VLOOKUP($N243,AF!$B$39:$M$80,V$9)*$J243</f>
        <v>0</v>
      </c>
      <c r="W243" s="133">
        <f t="shared" si="384"/>
        <v>120718336.08</v>
      </c>
      <c r="Y243" s="133">
        <f t="shared" si="385"/>
        <v>-28453.08</v>
      </c>
      <c r="Z243" s="133">
        <f t="shared" si="386"/>
        <v>0</v>
      </c>
      <c r="AA243" s="133">
        <f t="shared" si="387"/>
        <v>120689883</v>
      </c>
      <c r="AB243" s="72"/>
      <c r="AD243" s="72">
        <v>306</v>
      </c>
      <c r="AE243" s="133">
        <f>VLOOKUP($AD243,AF!$B$39:$M$80,AE$9)*$O243</f>
        <v>0</v>
      </c>
      <c r="AF243" s="133">
        <f>VLOOKUP($AD243,AF!$B$39:$M$80,AF$9)*$P243</f>
        <v>0</v>
      </c>
      <c r="AG243" s="133">
        <f>VLOOKUP($AD243,AF!$B$39:$M$80,AG$9)*$Q243</f>
        <v>0</v>
      </c>
      <c r="AH243" s="133">
        <f>VLOOKUP($AD243,AF!$B$39:$M$80,AH$9)*$R243</f>
        <v>0</v>
      </c>
      <c r="AI243" s="133">
        <f>VLOOKUP($AD243,AF!$B$39:$M$80,AI$9)*$S243</f>
        <v>-8384.9187507848765</v>
      </c>
      <c r="AJ243" s="133">
        <f>VLOOKUP($AD243,AF!$B$39:$M$80,AJ$9)*$T243</f>
        <v>0</v>
      </c>
      <c r="AK243" s="133">
        <f>VLOOKUP($AD243,AF!$B$39:$M$80,AK$9)*$U243</f>
        <v>0</v>
      </c>
      <c r="AL243" s="133">
        <f>VLOOKUP($AD243,AF!$B$39:$M$80,AL$9)*$V243</f>
        <v>0</v>
      </c>
      <c r="AM243" s="133">
        <f t="shared" si="388"/>
        <v>120698267.91875078</v>
      </c>
      <c r="AO243" s="133">
        <f t="shared" si="389"/>
        <v>-8384.9187507848765</v>
      </c>
      <c r="AP243" s="133">
        <f t="shared" si="390"/>
        <v>0</v>
      </c>
      <c r="AQ243" s="133">
        <f t="shared" si="391"/>
        <v>120689883</v>
      </c>
      <c r="AR243" s="72">
        <f t="shared" si="378"/>
        <v>0</v>
      </c>
    </row>
    <row r="244" spans="1:44" x14ac:dyDescent="0.25">
      <c r="A244" s="147">
        <f t="shared" si="315"/>
        <v>236</v>
      </c>
      <c r="B244" s="34"/>
      <c r="C244" s="34" t="s">
        <v>0</v>
      </c>
      <c r="D244" s="34"/>
      <c r="E244" s="1">
        <f>SUM(E231:E243)</f>
        <v>168376401</v>
      </c>
      <c r="F244" s="8"/>
      <c r="G244" s="1">
        <f t="shared" ref="G244:K244" si="392">SUM(G231:G243)</f>
        <v>191436.84897637795</v>
      </c>
      <c r="H244" s="1">
        <f t="shared" si="392"/>
        <v>721249.39748031506</v>
      </c>
      <c r="I244" s="1">
        <f>SUM(I231:I243)</f>
        <v>1852302.3339370079</v>
      </c>
      <c r="J244" s="1">
        <f t="shared" si="392"/>
        <v>0</v>
      </c>
      <c r="K244" s="1">
        <f t="shared" si="392"/>
        <v>41039569.099606305</v>
      </c>
      <c r="L244" s="72">
        <f t="shared" si="368"/>
        <v>124571843.31999999</v>
      </c>
      <c r="N244" s="8"/>
      <c r="O244" s="1">
        <f>SUM(O231:O243)</f>
        <v>70706.0125381588</v>
      </c>
      <c r="P244" s="1">
        <f>SUM(P231:P243)</f>
        <v>120730.83643821916</v>
      </c>
      <c r="Q244" s="1">
        <f>SUM(Q231:Q243)</f>
        <v>721249.39748031506</v>
      </c>
      <c r="R244" s="1">
        <f t="shared" ref="R244:W244" si="393">SUM(R231:R243)</f>
        <v>0</v>
      </c>
      <c r="S244" s="1">
        <f t="shared" si="393"/>
        <v>1852302.3339370079</v>
      </c>
      <c r="T244" s="1">
        <f t="shared" si="393"/>
        <v>0</v>
      </c>
      <c r="U244" s="1">
        <f t="shared" si="393"/>
        <v>0</v>
      </c>
      <c r="V244" s="1">
        <f t="shared" si="393"/>
        <v>0</v>
      </c>
      <c r="W244" s="1">
        <f t="shared" si="393"/>
        <v>165611412.4196063</v>
      </c>
      <c r="Y244" s="1">
        <f t="shared" ref="Y244:AA244" si="394">SUM(Y231:Y243)</f>
        <v>2644257.7439554813</v>
      </c>
      <c r="Z244" s="1">
        <f t="shared" si="394"/>
        <v>120730.83643821916</v>
      </c>
      <c r="AA244" s="1">
        <f t="shared" si="394"/>
        <v>168376401</v>
      </c>
      <c r="AB244" s="72">
        <f t="shared" si="373"/>
        <v>0</v>
      </c>
      <c r="AD244" s="8"/>
      <c r="AE244" s="1">
        <f t="shared" ref="AE244:AM244" ca="1" si="395">SUM(AE231:AE243)</f>
        <v>49893.128169582153</v>
      </c>
      <c r="AF244" s="1">
        <f t="shared" ca="1" si="395"/>
        <v>29422.29872019586</v>
      </c>
      <c r="AG244" s="1">
        <f t="shared" ca="1" si="395"/>
        <v>442313.68865232624</v>
      </c>
      <c r="AH244" s="1">
        <f t="shared" ca="1" si="395"/>
        <v>0</v>
      </c>
      <c r="AI244" s="1">
        <f t="shared" ca="1" si="395"/>
        <v>541284.97500284342</v>
      </c>
      <c r="AJ244" s="1">
        <f t="shared" ca="1" si="395"/>
        <v>0</v>
      </c>
      <c r="AK244" s="1">
        <f t="shared" ca="1" si="395"/>
        <v>0</v>
      </c>
      <c r="AL244" s="1">
        <f t="shared" ca="1" si="395"/>
        <v>0</v>
      </c>
      <c r="AM244" s="1">
        <f t="shared" ca="1" si="395"/>
        <v>167313486.90945506</v>
      </c>
      <c r="AO244" s="1">
        <f t="shared" ref="AO244:AQ244" ca="1" si="396">SUM(AO231:AO243)</f>
        <v>1033491.7918247518</v>
      </c>
      <c r="AP244" s="1">
        <f t="shared" ca="1" si="396"/>
        <v>29422.29872019586</v>
      </c>
      <c r="AQ244" s="1">
        <f t="shared" ca="1" si="396"/>
        <v>168376401</v>
      </c>
      <c r="AR244" s="72">
        <f t="shared" ca="1" si="378"/>
        <v>0</v>
      </c>
    </row>
    <row r="245" spans="1:44" x14ac:dyDescent="0.25">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25">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25">
      <c r="A247" s="147">
        <f t="shared" si="315"/>
        <v>239</v>
      </c>
      <c r="B247" s="34"/>
      <c r="C247" s="37" t="s">
        <v>720</v>
      </c>
      <c r="D247" s="34" t="s">
        <v>241</v>
      </c>
      <c r="E247" s="17">
        <f>SUM(G247:K247)</f>
        <v>1121977.23</v>
      </c>
      <c r="F247" s="72">
        <v>100</v>
      </c>
      <c r="G247" s="25">
        <v>111752.95</v>
      </c>
      <c r="H247" s="27">
        <v>103743.43</v>
      </c>
      <c r="I247" s="25">
        <v>681682.57</v>
      </c>
      <c r="J247" s="25">
        <v>0</v>
      </c>
      <c r="K247" s="25">
        <v>224798.28</v>
      </c>
      <c r="L247" s="72">
        <f>$E247-SUM(G247:K247)</f>
        <v>0</v>
      </c>
      <c r="N247" s="8">
        <v>205</v>
      </c>
      <c r="O247" s="1">
        <f>VLOOKUP($N247,AF!$B$39:$M$80,O$9)*$G247</f>
        <v>55356.134207871386</v>
      </c>
      <c r="P247" s="1">
        <f>VLOOKUP($N247,AF!$B$39:$M$80,P$9)*$G247</f>
        <v>56396.815792128611</v>
      </c>
      <c r="Q247" s="1">
        <f>VLOOKUP($N247,AF!$B$39:$M$80,Q$9)*$H247</f>
        <v>103743.43</v>
      </c>
      <c r="R247" s="1">
        <f>VLOOKUP($N247,AF!$B$39:$M$80,R$9)*$H247</f>
        <v>0</v>
      </c>
      <c r="S247" s="1">
        <f>VLOOKUP($N247,AF!$B$39:$M$80,S$9)*$I247</f>
        <v>681682.57</v>
      </c>
      <c r="T247" s="1">
        <f>VLOOKUP($N247,AF!$B$39:$M$80,T$9)*$I247</f>
        <v>0</v>
      </c>
      <c r="U247" s="1">
        <f>VLOOKUP($N247,AF!$B$39:$M$80,U$9)*$J247</f>
        <v>0</v>
      </c>
      <c r="V247" s="1">
        <f>VLOOKUP($N247,AF!$B$39:$M$80,V$9)*$J247</f>
        <v>0</v>
      </c>
      <c r="W247" s="1">
        <f t="shared" ref="W247:W250" si="397">E247-SUM(O247:V247)</f>
        <v>224798.28000000003</v>
      </c>
      <c r="Y247" s="1">
        <f t="shared" ref="Y247:Z250" si="398">+O247+Q247+S247+U247</f>
        <v>840782.13420787128</v>
      </c>
      <c r="Z247" s="1">
        <f t="shared" si="398"/>
        <v>56396.815792128611</v>
      </c>
      <c r="AA247" s="1">
        <f t="shared" ref="AA247:AA250" si="399">+Z247+Y247+W247</f>
        <v>1121977.23</v>
      </c>
      <c r="AB247" s="72">
        <f t="shared" ref="AB247:AB251" si="400">$E247-AA247</f>
        <v>0</v>
      </c>
      <c r="AD247" s="72">
        <v>305</v>
      </c>
      <c r="AE247" s="1">
        <f ca="1">VLOOKUP($AD247,AF!$B$39:$M$80,AE$9)*$O247</f>
        <v>43313.2043584778</v>
      </c>
      <c r="AF247" s="1">
        <f ca="1">VLOOKUP($AD247,AF!$B$39:$M$80,AF$9)*$P247</f>
        <v>15574.999355912814</v>
      </c>
      <c r="AG247" s="1">
        <f ca="1">VLOOKUP($AD247,AF!$B$39:$M$80,AG$9)*$Q247</f>
        <v>63360.145623389923</v>
      </c>
      <c r="AH247" s="1">
        <f ca="1">VLOOKUP($AD247,AF!$B$39:$M$80,AH$9)*$R247</f>
        <v>0</v>
      </c>
      <c r="AI247" s="1">
        <f ca="1">VLOOKUP($AD247,AF!$B$39:$M$80,AI$9)*$S247</f>
        <v>199591.5001588887</v>
      </c>
      <c r="AJ247" s="1">
        <f ca="1">VLOOKUP($AD247,AF!$B$39:$M$80,AJ$9)*$T247</f>
        <v>0</v>
      </c>
      <c r="AK247" s="1">
        <f ca="1">VLOOKUP($AD247,AF!$B$39:$M$80,AK$9)*$U247</f>
        <v>0</v>
      </c>
      <c r="AL247" s="1">
        <f ca="1">VLOOKUP($AD247,AF!$B$39:$M$80,AL$9)*$V247</f>
        <v>0</v>
      </c>
      <c r="AM247" s="1">
        <f t="shared" ref="AM247:AM250" ca="1" si="401">E247-SUM(AE247:AL247)</f>
        <v>800137.38050333073</v>
      </c>
      <c r="AO247" s="1">
        <f t="shared" ref="AO247:AP250" ca="1" si="402">+AE247+AG247+AI247+AK247</f>
        <v>306264.8501407564</v>
      </c>
      <c r="AP247" s="1">
        <f t="shared" ca="1" si="402"/>
        <v>15574.999355912814</v>
      </c>
      <c r="AQ247" s="1">
        <f t="shared" ref="AQ247:AQ250" ca="1" si="403">+AP247+AO247+AM247</f>
        <v>1121977.23</v>
      </c>
      <c r="AR247" s="72">
        <f t="shared" ref="AR247:AR251" ca="1" si="404">$E247-AQ247</f>
        <v>0</v>
      </c>
    </row>
    <row r="248" spans="1:44" x14ac:dyDescent="0.25">
      <c r="A248" s="147">
        <f t="shared" si="315"/>
        <v>240</v>
      </c>
      <c r="B248" s="34"/>
      <c r="C248" s="37" t="s">
        <v>724</v>
      </c>
      <c r="D248" s="34" t="s">
        <v>241</v>
      </c>
      <c r="E248" s="28">
        <v>0</v>
      </c>
      <c r="F248" s="8">
        <v>106</v>
      </c>
      <c r="G248" s="1">
        <f>VLOOKUP($F248,AF!$B$39:$M$80,G$9)*$E248</f>
        <v>0</v>
      </c>
      <c r="H248" s="1">
        <f>VLOOKUP($F248,AF!$B$39:$M$80,H$9)*$E248</f>
        <v>0</v>
      </c>
      <c r="I248" s="1">
        <f>VLOOKUP($F248,AF!$B$39:$M$80,I$9)*$E248</f>
        <v>0</v>
      </c>
      <c r="J248" s="1">
        <f>VLOOKUP($F248,AF!$B$39:$M$80,J$9)*$E248</f>
        <v>0</v>
      </c>
      <c r="K248" s="1">
        <f t="shared" ref="K248:K250" si="405">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72">
        <f t="shared" si="400"/>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72">
        <f t="shared" si="404"/>
        <v>0</v>
      </c>
    </row>
    <row r="249" spans="1:44" x14ac:dyDescent="0.25">
      <c r="A249" s="147">
        <f t="shared" si="315"/>
        <v>241</v>
      </c>
      <c r="B249" s="34"/>
      <c r="C249" s="37" t="s">
        <v>721</v>
      </c>
      <c r="D249" s="34" t="s">
        <v>241</v>
      </c>
      <c r="E249" s="28">
        <v>0</v>
      </c>
      <c r="F249" s="8">
        <v>102</v>
      </c>
      <c r="G249" s="1">
        <f>VLOOKUP($F249,AF!$B$39:$M$80,G$9)*$E249</f>
        <v>0</v>
      </c>
      <c r="H249" s="1">
        <f>VLOOKUP($F249,AF!$B$39:$M$80,H$9)*$E249</f>
        <v>0</v>
      </c>
      <c r="I249" s="1">
        <f>VLOOKUP($F249,AF!$B$39:$M$80,I$9)*$E249</f>
        <v>0</v>
      </c>
      <c r="J249" s="1">
        <f>VLOOKUP($F249,AF!$B$39:$M$80,J$9)*$E249</f>
        <v>0</v>
      </c>
      <c r="K249" s="1">
        <f t="shared" si="405"/>
        <v>0</v>
      </c>
      <c r="L249" s="72">
        <f>$E249-SUM(G249:K249)</f>
        <v>0</v>
      </c>
      <c r="N249" s="8">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72">
        <f t="shared" si="400"/>
        <v>0</v>
      </c>
      <c r="AD249" s="72">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72">
        <f t="shared" si="404"/>
        <v>0</v>
      </c>
    </row>
    <row r="250" spans="1:44" x14ac:dyDescent="0.25">
      <c r="A250" s="147">
        <f t="shared" si="315"/>
        <v>242</v>
      </c>
      <c r="B250" s="34"/>
      <c r="C250" s="37" t="s">
        <v>722</v>
      </c>
      <c r="D250" s="34" t="s">
        <v>241</v>
      </c>
      <c r="E250" s="26">
        <f>6426728-E249-E248-E247</f>
        <v>5304750.7699999996</v>
      </c>
      <c r="F250" s="8">
        <v>101</v>
      </c>
      <c r="G250" s="133">
        <f>VLOOKUP($F250,AF!$B$39:$M$80,G$9)*$E250</f>
        <v>0</v>
      </c>
      <c r="H250" s="133">
        <f>VLOOKUP($F250,AF!$B$39:$M$80,H$9)*$E250</f>
        <v>0</v>
      </c>
      <c r="I250" s="133">
        <f>VLOOKUP($F250,AF!$B$39:$M$80,I$9)*$E250</f>
        <v>0</v>
      </c>
      <c r="J250" s="133">
        <f>VLOOKUP($F250,AF!$B$39:$M$80,J$9)*$E250</f>
        <v>0</v>
      </c>
      <c r="K250" s="133">
        <f t="shared" si="405"/>
        <v>5304750.7699999996</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97"/>
        <v>5304750.7699999996</v>
      </c>
      <c r="Y250" s="133">
        <f t="shared" si="398"/>
        <v>0</v>
      </c>
      <c r="Z250" s="133">
        <f t="shared" si="398"/>
        <v>0</v>
      </c>
      <c r="AA250" s="133">
        <f t="shared" si="399"/>
        <v>5304750.7699999996</v>
      </c>
      <c r="AB250" s="72">
        <f t="shared" si="400"/>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401"/>
        <v>5304750.7699999996</v>
      </c>
      <c r="AO250" s="133">
        <f t="shared" si="402"/>
        <v>0</v>
      </c>
      <c r="AP250" s="133">
        <f t="shared" si="402"/>
        <v>0</v>
      </c>
      <c r="AQ250" s="133">
        <f t="shared" si="403"/>
        <v>5304750.7699999996</v>
      </c>
      <c r="AR250" s="72">
        <f t="shared" si="404"/>
        <v>0</v>
      </c>
    </row>
    <row r="251" spans="1:44" x14ac:dyDescent="0.25">
      <c r="A251" s="147">
        <f t="shared" si="315"/>
        <v>243</v>
      </c>
      <c r="B251" s="34"/>
      <c r="C251" s="37" t="s">
        <v>0</v>
      </c>
      <c r="D251" s="34" t="s">
        <v>139</v>
      </c>
      <c r="E251" s="36">
        <f>SUM(E247:E250)</f>
        <v>6426728</v>
      </c>
      <c r="F251" s="8"/>
      <c r="G251" s="1">
        <f t="shared" ref="G251:K251" si="406">SUM(G247:G250)</f>
        <v>111752.95</v>
      </c>
      <c r="H251" s="1">
        <f t="shared" si="406"/>
        <v>103743.43</v>
      </c>
      <c r="I251" s="1">
        <f t="shared" si="406"/>
        <v>681682.57</v>
      </c>
      <c r="J251" s="1">
        <f t="shared" si="406"/>
        <v>0</v>
      </c>
      <c r="K251" s="1">
        <f t="shared" si="406"/>
        <v>5529549.0499999998</v>
      </c>
      <c r="L251" s="72">
        <f>$E251-SUM(G251:K251)</f>
        <v>0</v>
      </c>
      <c r="N251" s="8"/>
      <c r="O251" s="1">
        <f t="shared" ref="O251:W251" si="407">SUM(O247:O250)</f>
        <v>55356.134207871386</v>
      </c>
      <c r="P251" s="1">
        <f t="shared" si="407"/>
        <v>56396.815792128611</v>
      </c>
      <c r="Q251" s="1">
        <f t="shared" si="407"/>
        <v>103743.43</v>
      </c>
      <c r="R251" s="1">
        <f t="shared" si="407"/>
        <v>0</v>
      </c>
      <c r="S251" s="1">
        <f t="shared" si="407"/>
        <v>681682.57</v>
      </c>
      <c r="T251" s="1">
        <f t="shared" si="407"/>
        <v>0</v>
      </c>
      <c r="U251" s="1">
        <f t="shared" si="407"/>
        <v>0</v>
      </c>
      <c r="V251" s="1">
        <f t="shared" si="407"/>
        <v>0</v>
      </c>
      <c r="W251" s="1">
        <f t="shared" si="407"/>
        <v>5529549.0499999998</v>
      </c>
      <c r="Y251" s="1">
        <f t="shared" ref="Y251:AA251" si="408">SUM(Y247:Y250)</f>
        <v>840782.13420787128</v>
      </c>
      <c r="Z251" s="1">
        <f t="shared" si="408"/>
        <v>56396.815792128611</v>
      </c>
      <c r="AA251" s="1">
        <f t="shared" si="408"/>
        <v>6426728</v>
      </c>
      <c r="AB251" s="72">
        <f t="shared" si="400"/>
        <v>0</v>
      </c>
      <c r="AD251" s="8"/>
      <c r="AE251" s="1">
        <f t="shared" ref="AE251:AM251" ca="1" si="409">SUM(AE247:AE250)</f>
        <v>43313.2043584778</v>
      </c>
      <c r="AF251" s="1">
        <f t="shared" ca="1" si="409"/>
        <v>15574.999355912814</v>
      </c>
      <c r="AG251" s="1">
        <f t="shared" ca="1" si="409"/>
        <v>63360.145623389923</v>
      </c>
      <c r="AH251" s="1">
        <f t="shared" ca="1" si="409"/>
        <v>0</v>
      </c>
      <c r="AI251" s="1">
        <f t="shared" ca="1" si="409"/>
        <v>199591.5001588887</v>
      </c>
      <c r="AJ251" s="1">
        <f t="shared" ca="1" si="409"/>
        <v>0</v>
      </c>
      <c r="AK251" s="1">
        <f t="shared" ca="1" si="409"/>
        <v>0</v>
      </c>
      <c r="AL251" s="1">
        <f t="shared" ca="1" si="409"/>
        <v>0</v>
      </c>
      <c r="AM251" s="1">
        <f t="shared" ca="1" si="409"/>
        <v>6104888.1505033299</v>
      </c>
      <c r="AO251" s="1">
        <f t="shared" ref="AO251:AQ251" ca="1" si="410">SUM(AO247:AO250)</f>
        <v>306264.8501407564</v>
      </c>
      <c r="AP251" s="1">
        <f t="shared" ca="1" si="410"/>
        <v>15574.999355912814</v>
      </c>
      <c r="AQ251" s="1">
        <f t="shared" ca="1" si="410"/>
        <v>6426728</v>
      </c>
      <c r="AR251" s="72">
        <f t="shared" ca="1" si="404"/>
        <v>0</v>
      </c>
    </row>
    <row r="252" spans="1:44" ht="15.75" thickBot="1" x14ac:dyDescent="0.3">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5.75" thickTop="1" x14ac:dyDescent="0.25">
      <c r="A253" s="147">
        <f t="shared" si="315"/>
        <v>245</v>
      </c>
      <c r="B253" s="34" t="s">
        <v>147</v>
      </c>
      <c r="C253" s="34"/>
      <c r="D253" s="34"/>
      <c r="E253" s="36">
        <f>+E228+E244+E251</f>
        <v>932704152</v>
      </c>
      <c r="F253" s="8"/>
      <c r="G253" s="1">
        <f t="shared" ref="G253:K253" si="411">+G228+G244+G251</f>
        <v>770087.02456692909</v>
      </c>
      <c r="H253" s="1">
        <f t="shared" si="411"/>
        <v>1044283.3204724409</v>
      </c>
      <c r="I253" s="1">
        <f t="shared" si="411"/>
        <v>4756156.2855118113</v>
      </c>
      <c r="J253" s="1">
        <f t="shared" si="411"/>
        <v>0</v>
      </c>
      <c r="K253" s="1">
        <f t="shared" si="411"/>
        <v>801561782.04944861</v>
      </c>
      <c r="L253" s="72">
        <f>$E253-SUM(G253:K253)</f>
        <v>124571843.32000017</v>
      </c>
      <c r="N253" s="8"/>
      <c r="O253" s="1">
        <f t="shared" ref="O253:W253" si="412">+O228+O244+O251</f>
        <v>264971.61172040645</v>
      </c>
      <c r="P253" s="1">
        <f t="shared" si="412"/>
        <v>505115.41284652275</v>
      </c>
      <c r="Q253" s="1">
        <f t="shared" si="412"/>
        <v>1044283.3204724409</v>
      </c>
      <c r="R253" s="1">
        <f t="shared" si="412"/>
        <v>0</v>
      </c>
      <c r="S253" s="1">
        <f t="shared" si="412"/>
        <v>4756156.2855118113</v>
      </c>
      <c r="T253" s="1">
        <f t="shared" si="412"/>
        <v>0</v>
      </c>
      <c r="U253" s="1">
        <f t="shared" si="412"/>
        <v>0</v>
      </c>
      <c r="V253" s="1">
        <f t="shared" si="412"/>
        <v>0</v>
      </c>
      <c r="W253" s="1">
        <f t="shared" si="412"/>
        <v>926133625.36944866</v>
      </c>
      <c r="Y253" s="1">
        <f>+Y228+Y244+Y251</f>
        <v>6065411.2177046575</v>
      </c>
      <c r="Z253" s="1">
        <f>+Z228+Z244+Z251</f>
        <v>505115.41284652275</v>
      </c>
      <c r="AA253" s="1">
        <f>+AA228+AA244+AA251</f>
        <v>932704152</v>
      </c>
      <c r="AB253" s="72">
        <f t="shared" ref="AB253" si="413">$E253-AA253</f>
        <v>0</v>
      </c>
      <c r="AD253" s="8"/>
      <c r="AE253" s="1">
        <f t="shared" ref="AE253:AM253" ca="1" si="414">+AE228+AE244+AE251</f>
        <v>177890.08574357949</v>
      </c>
      <c r="AF253" s="1">
        <f t="shared" ca="1" si="414"/>
        <v>119783.34931325645</v>
      </c>
      <c r="AG253" s="1">
        <f t="shared" ca="1" si="414"/>
        <v>618397.21336604166</v>
      </c>
      <c r="AH253" s="1">
        <f t="shared" ca="1" si="414"/>
        <v>0</v>
      </c>
      <c r="AI253" s="1">
        <f t="shared" ca="1" si="414"/>
        <v>1204671.4976609664</v>
      </c>
      <c r="AJ253" s="1">
        <f t="shared" ca="1" si="414"/>
        <v>0</v>
      </c>
      <c r="AK253" s="1">
        <f t="shared" ca="1" si="414"/>
        <v>0</v>
      </c>
      <c r="AL253" s="1">
        <f t="shared" ca="1" si="414"/>
        <v>0</v>
      </c>
      <c r="AM253" s="1">
        <f t="shared" ca="1" si="414"/>
        <v>930583409.85391605</v>
      </c>
      <c r="AO253" s="1">
        <f ca="1">+AO228+AO244+AO251</f>
        <v>2000958.7967705876</v>
      </c>
      <c r="AP253" s="1">
        <f ca="1">+AP228+AP244+AP251</f>
        <v>119783.34931325645</v>
      </c>
      <c r="AQ253" s="1">
        <f ca="1">+AQ228+AQ244+AQ251</f>
        <v>932704152</v>
      </c>
      <c r="AR253" s="72">
        <f t="shared" ref="AR253" ca="1" si="415">$E253-AQ253</f>
        <v>0</v>
      </c>
    </row>
    <row r="254" spans="1:44" x14ac:dyDescent="0.25">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25">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25">
      <c r="A256" s="147">
        <f t="shared" si="315"/>
        <v>248</v>
      </c>
      <c r="B256" s="34"/>
      <c r="C256" s="34" t="s">
        <v>146</v>
      </c>
      <c r="D256" s="34" t="s">
        <v>241</v>
      </c>
      <c r="E256" s="29">
        <f>SUM(G256:K256)</f>
        <v>3794277.0999999996</v>
      </c>
      <c r="F256" s="72">
        <v>100</v>
      </c>
      <c r="G256" s="25">
        <v>273799.12</v>
      </c>
      <c r="H256" s="25">
        <v>707641.97</v>
      </c>
      <c r="I256" s="25">
        <v>1413817.15</v>
      </c>
      <c r="J256" s="25">
        <v>0</v>
      </c>
      <c r="K256" s="25">
        <v>1399018.86</v>
      </c>
      <c r="L256" s="72">
        <f>$E256-SUM(G256:K256)</f>
        <v>0</v>
      </c>
      <c r="N256" s="8">
        <v>205</v>
      </c>
      <c r="O256" s="1">
        <f>VLOOKUP($N256,AF!$B$39:$M$80,O$9)*$G256</f>
        <v>135624.70460705584</v>
      </c>
      <c r="P256" s="1">
        <f>VLOOKUP($N256,AF!$B$39:$M$80,P$9)*$G256</f>
        <v>138174.41539294415</v>
      </c>
      <c r="Q256" s="1">
        <f>VLOOKUP($N256,AF!$B$39:$M$80,Q$9)*$H256</f>
        <v>707641.97</v>
      </c>
      <c r="R256" s="1">
        <f>VLOOKUP($N256,AF!$B$39:$M$80,R$9)*$H256</f>
        <v>0</v>
      </c>
      <c r="S256" s="1">
        <f>VLOOKUP($N256,AF!$B$39:$M$80,S$9)*$I256</f>
        <v>1413817.15</v>
      </c>
      <c r="T256" s="1">
        <f>VLOOKUP($N256,AF!$B$39:$M$80,T$9)*$I256</f>
        <v>0</v>
      </c>
      <c r="U256" s="1">
        <f>VLOOKUP($N256,AF!$B$39:$M$80,U$9)*$J256</f>
        <v>0</v>
      </c>
      <c r="V256" s="1">
        <f>VLOOKUP($N256,AF!$B$39:$M$80,V$9)*$J256</f>
        <v>0</v>
      </c>
      <c r="W256" s="1">
        <f t="shared" ref="W256:W259" si="416">E256-SUM(O256:V256)</f>
        <v>1399018.8599999999</v>
      </c>
      <c r="Y256" s="1">
        <f t="shared" ref="Y256:Z259" si="417">+O256+Q256+S256+U256</f>
        <v>2257083.8246070556</v>
      </c>
      <c r="Z256" s="1">
        <f t="shared" si="417"/>
        <v>138174.41539294415</v>
      </c>
      <c r="AA256" s="1">
        <f t="shared" ref="AA256:AA259" si="418">+Z256+Y256+W256</f>
        <v>3794277.0999999996</v>
      </c>
      <c r="AB256" s="72">
        <f t="shared" ref="AB256:AB260" si="419">$E256-AA256</f>
        <v>0</v>
      </c>
      <c r="AD256" s="72">
        <v>305</v>
      </c>
      <c r="AE256" s="1">
        <f ca="1">VLOOKUP($AD256,AF!$B$39:$M$80,AE$9)*$O256</f>
        <v>106119.05312326328</v>
      </c>
      <c r="AF256" s="1">
        <f ca="1">VLOOKUP($AD256,AF!$B$39:$M$80,AF$9)*$P256</f>
        <v>38159.360604346424</v>
      </c>
      <c r="AG256" s="1">
        <f ca="1">VLOOKUP($AD256,AF!$B$39:$M$80,AG$9)*$Q256</f>
        <v>432184.45995493425</v>
      </c>
      <c r="AH256" s="1">
        <f ca="1">VLOOKUP($AD256,AF!$B$39:$M$80,AH$9)*$R256</f>
        <v>0</v>
      </c>
      <c r="AI256" s="1">
        <f ca="1">VLOOKUP($AD256,AF!$B$39:$M$80,AI$9)*$S256</f>
        <v>413954.96722010156</v>
      </c>
      <c r="AJ256" s="1">
        <f ca="1">VLOOKUP($AD256,AF!$B$39:$M$80,AJ$9)*$T256</f>
        <v>0</v>
      </c>
      <c r="AK256" s="1">
        <f ca="1">VLOOKUP($AD256,AF!$B$39:$M$80,AK$9)*$U256</f>
        <v>0</v>
      </c>
      <c r="AL256" s="1">
        <f ca="1">VLOOKUP($AD256,AF!$B$39:$M$80,AL$9)*$V256</f>
        <v>0</v>
      </c>
      <c r="AM256" s="1">
        <f t="shared" ref="AM256:AM259" ca="1" si="420">E256-SUM(AE256:AL256)</f>
        <v>2803859.259097354</v>
      </c>
      <c r="AO256" s="1">
        <f t="shared" ref="AO256:AP259" ca="1" si="421">+AE256+AG256+AI256+AK256</f>
        <v>952258.48029829911</v>
      </c>
      <c r="AP256" s="1">
        <f t="shared" ca="1" si="421"/>
        <v>38159.360604346424</v>
      </c>
      <c r="AQ256" s="1">
        <f t="shared" ref="AQ256:AQ259" ca="1" si="422">+AP256+AO256+AM256</f>
        <v>3794277.0999999996</v>
      </c>
      <c r="AR256" s="72">
        <f t="shared" ref="AR256:AR260" ca="1" si="423">$E256-AQ256</f>
        <v>0</v>
      </c>
    </row>
    <row r="257" spans="1:44" x14ac:dyDescent="0.25">
      <c r="A257" s="147">
        <f t="shared" si="315"/>
        <v>249</v>
      </c>
      <c r="B257" s="34"/>
      <c r="C257" s="37" t="s">
        <v>723</v>
      </c>
      <c r="D257" s="34" t="s">
        <v>241</v>
      </c>
      <c r="E257" s="28">
        <v>0</v>
      </c>
      <c r="F257" s="72">
        <v>106</v>
      </c>
      <c r="G257" s="1">
        <f>VLOOKUP($F257,AF!$B$39:$M$80,G$9)*$E257</f>
        <v>0</v>
      </c>
      <c r="H257" s="1">
        <f>VLOOKUP($F257,AF!$B$39:$M$80,H$9)*$E257</f>
        <v>0</v>
      </c>
      <c r="I257" s="1">
        <f>VLOOKUP($F257,AF!$B$39:$M$80,I$9)*$E257</f>
        <v>0</v>
      </c>
      <c r="J257" s="1">
        <f>VLOOKUP($F257,AF!$B$39:$M$80,J$9)*$E257</f>
        <v>0</v>
      </c>
      <c r="K257" s="1">
        <f t="shared" ref="K257:K259" si="424">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72">
        <f t="shared" si="419"/>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72">
        <f t="shared" si="423"/>
        <v>0</v>
      </c>
    </row>
    <row r="258" spans="1:44" x14ac:dyDescent="0.25">
      <c r="A258" s="147">
        <f t="shared" si="315"/>
        <v>250</v>
      </c>
      <c r="B258" s="34"/>
      <c r="C258" s="37" t="s">
        <v>725</v>
      </c>
      <c r="D258" s="34" t="s">
        <v>241</v>
      </c>
      <c r="E258" s="28">
        <v>0</v>
      </c>
      <c r="F258" s="72">
        <v>101</v>
      </c>
      <c r="G258" s="1">
        <f>VLOOKUP($F258,AF!$B$39:$M$80,G$9)*$E258</f>
        <v>0</v>
      </c>
      <c r="H258" s="1">
        <f>VLOOKUP($F258,AF!$B$39:$M$80,H$9)*$E258</f>
        <v>0</v>
      </c>
      <c r="I258" s="1">
        <f>VLOOKUP($F258,AF!$B$39:$M$80,I$9)*$E258</f>
        <v>0</v>
      </c>
      <c r="J258" s="1">
        <f>VLOOKUP($F258,AF!$B$39:$M$80,J$9)*$E258</f>
        <v>0</v>
      </c>
      <c r="K258" s="1">
        <f t="shared" si="424"/>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72">
        <f t="shared" si="419"/>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72">
        <f t="shared" si="423"/>
        <v>0</v>
      </c>
    </row>
    <row r="259" spans="1:44" x14ac:dyDescent="0.25">
      <c r="A259" s="147">
        <f t="shared" si="315"/>
        <v>251</v>
      </c>
      <c r="B259" s="34"/>
      <c r="C259" s="34" t="s">
        <v>149</v>
      </c>
      <c r="D259" s="34" t="s">
        <v>241</v>
      </c>
      <c r="E259" s="26">
        <f>28155323-E256</f>
        <v>24361045.899999999</v>
      </c>
      <c r="F259" s="72">
        <v>101</v>
      </c>
      <c r="G259" s="133">
        <f>VLOOKUP($F259,AF!$B$39:$M$80,G$9)*$E259</f>
        <v>0</v>
      </c>
      <c r="H259" s="133">
        <f>VLOOKUP($F259,AF!$B$39:$M$80,H$9)*$E259</f>
        <v>0</v>
      </c>
      <c r="I259" s="133">
        <f>VLOOKUP($F259,AF!$B$39:$M$80,I$9)*$E259</f>
        <v>0</v>
      </c>
      <c r="J259" s="133">
        <f>VLOOKUP($F259,AF!$B$39:$M$80,J$9)*$E259</f>
        <v>0</v>
      </c>
      <c r="K259" s="133">
        <f t="shared" si="424"/>
        <v>24361045.899999999</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16"/>
        <v>24361045.899999999</v>
      </c>
      <c r="Y259" s="133">
        <f t="shared" si="417"/>
        <v>0</v>
      </c>
      <c r="Z259" s="133">
        <f t="shared" si="417"/>
        <v>0</v>
      </c>
      <c r="AA259" s="133">
        <f t="shared" si="418"/>
        <v>24361045.899999999</v>
      </c>
      <c r="AB259" s="72">
        <f t="shared" si="419"/>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20"/>
        <v>24361045.899999999</v>
      </c>
      <c r="AO259" s="133">
        <f t="shared" si="421"/>
        <v>0</v>
      </c>
      <c r="AP259" s="133">
        <f t="shared" si="421"/>
        <v>0</v>
      </c>
      <c r="AQ259" s="133">
        <f t="shared" si="422"/>
        <v>24361045.899999999</v>
      </c>
      <c r="AR259" s="72">
        <f t="shared" si="423"/>
        <v>0</v>
      </c>
    </row>
    <row r="260" spans="1:44" x14ac:dyDescent="0.25">
      <c r="A260" s="147">
        <f t="shared" si="315"/>
        <v>252</v>
      </c>
      <c r="B260" s="34"/>
      <c r="C260" s="34" t="s">
        <v>0</v>
      </c>
      <c r="D260" s="34"/>
      <c r="E260" s="36">
        <f>SUM(E256:E259)</f>
        <v>28155323</v>
      </c>
      <c r="F260" s="8"/>
      <c r="G260" s="1">
        <f t="shared" ref="G260:K260" si="425">SUM(G256:G259)</f>
        <v>273799.12</v>
      </c>
      <c r="H260" s="1">
        <f t="shared" si="425"/>
        <v>707641.97</v>
      </c>
      <c r="I260" s="1">
        <f t="shared" si="425"/>
        <v>1413817.15</v>
      </c>
      <c r="J260" s="1">
        <f t="shared" si="425"/>
        <v>0</v>
      </c>
      <c r="K260" s="1">
        <f t="shared" si="425"/>
        <v>25760064.759999998</v>
      </c>
      <c r="L260" s="72">
        <f>$E260-SUM(G260:K260)</f>
        <v>0</v>
      </c>
      <c r="N260" s="8"/>
      <c r="O260" s="1">
        <f t="shared" ref="O260:W260" si="426">SUM(O256:O259)</f>
        <v>135624.70460705584</v>
      </c>
      <c r="P260" s="1">
        <f t="shared" si="426"/>
        <v>138174.41539294415</v>
      </c>
      <c r="Q260" s="1">
        <f t="shared" si="426"/>
        <v>707641.97</v>
      </c>
      <c r="R260" s="1">
        <f t="shared" si="426"/>
        <v>0</v>
      </c>
      <c r="S260" s="1">
        <f t="shared" si="426"/>
        <v>1413817.15</v>
      </c>
      <c r="T260" s="1">
        <f t="shared" si="426"/>
        <v>0</v>
      </c>
      <c r="U260" s="1">
        <f t="shared" si="426"/>
        <v>0</v>
      </c>
      <c r="V260" s="1">
        <f t="shared" si="426"/>
        <v>0</v>
      </c>
      <c r="W260" s="1">
        <f t="shared" si="426"/>
        <v>25760064.759999998</v>
      </c>
      <c r="Y260" s="1">
        <f t="shared" ref="Y260:AA260" si="427">SUM(Y256:Y259)</f>
        <v>2257083.8246070556</v>
      </c>
      <c r="Z260" s="1">
        <f t="shared" si="427"/>
        <v>138174.41539294415</v>
      </c>
      <c r="AA260" s="1">
        <f t="shared" si="427"/>
        <v>28155323</v>
      </c>
      <c r="AB260" s="72">
        <f t="shared" si="419"/>
        <v>0</v>
      </c>
      <c r="AD260" s="8"/>
      <c r="AE260" s="1">
        <f t="shared" ref="AE260:AM260" ca="1" si="428">SUM(AE256:AE259)</f>
        <v>106119.05312326328</v>
      </c>
      <c r="AF260" s="1">
        <f t="shared" ca="1" si="428"/>
        <v>38159.360604346424</v>
      </c>
      <c r="AG260" s="1">
        <f t="shared" ca="1" si="428"/>
        <v>432184.45995493425</v>
      </c>
      <c r="AH260" s="1">
        <f t="shared" ca="1" si="428"/>
        <v>0</v>
      </c>
      <c r="AI260" s="1">
        <f t="shared" ca="1" si="428"/>
        <v>413954.96722010156</v>
      </c>
      <c r="AJ260" s="1">
        <f t="shared" ca="1" si="428"/>
        <v>0</v>
      </c>
      <c r="AK260" s="1">
        <f t="shared" ca="1" si="428"/>
        <v>0</v>
      </c>
      <c r="AL260" s="1">
        <f t="shared" ca="1" si="428"/>
        <v>0</v>
      </c>
      <c r="AM260" s="1">
        <f t="shared" ca="1" si="428"/>
        <v>27164905.159097351</v>
      </c>
      <c r="AO260" s="1">
        <f t="shared" ref="AO260:AQ260" ca="1" si="429">SUM(AO256:AO259)</f>
        <v>952258.48029829911</v>
      </c>
      <c r="AP260" s="1">
        <f t="shared" ca="1" si="429"/>
        <v>38159.360604346424</v>
      </c>
      <c r="AQ260" s="1">
        <f t="shared" ca="1" si="429"/>
        <v>28155323</v>
      </c>
      <c r="AR260" s="72">
        <f t="shared" ca="1" si="423"/>
        <v>0</v>
      </c>
    </row>
    <row r="261" spans="1:44" x14ac:dyDescent="0.25">
      <c r="A261" s="147">
        <f t="shared" si="315"/>
        <v>253</v>
      </c>
      <c r="B261" s="34"/>
      <c r="C261" s="34"/>
      <c r="D261" s="34"/>
      <c r="E261" s="34"/>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25">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25">
      <c r="A263" s="147">
        <f t="shared" si="315"/>
        <v>255</v>
      </c>
      <c r="B263" s="34"/>
      <c r="C263" s="34" t="s">
        <v>726</v>
      </c>
      <c r="D263" s="34"/>
      <c r="E263" s="8">
        <f>SUM(G263:K263)</f>
        <v>1013309.2349999998</v>
      </c>
      <c r="F263" s="74"/>
      <c r="G263" s="17">
        <f>+G287</f>
        <v>253721.15000000002</v>
      </c>
      <c r="H263" s="17">
        <f t="shared" ref="H263:J263" si="430">+H287</f>
        <v>611923.42499999981</v>
      </c>
      <c r="I263" s="17">
        <f t="shared" si="430"/>
        <v>147664.65999999992</v>
      </c>
      <c r="J263" s="17">
        <f t="shared" si="430"/>
        <v>0</v>
      </c>
      <c r="K263" s="17">
        <v>0</v>
      </c>
      <c r="L263" s="72">
        <f>$E263-SUM(G263:K263)</f>
        <v>0</v>
      </c>
      <c r="N263" s="8">
        <v>205</v>
      </c>
      <c r="O263" s="1">
        <f>VLOOKUP($N263,AF!$B$39:$M$80,O$9)*$G263</f>
        <v>125679.20605921785</v>
      </c>
      <c r="P263" s="1">
        <f>VLOOKUP($N263,AF!$B$39:$M$80,P$9)*$G263</f>
        <v>128041.94394078218</v>
      </c>
      <c r="Q263" s="1">
        <f>VLOOKUP($N263,AF!$B$39:$M$80,Q$9)*$H263</f>
        <v>611923.42499999981</v>
      </c>
      <c r="R263" s="1">
        <f>VLOOKUP($N263,AF!$B$39:$M$80,R$9)*$H263</f>
        <v>0</v>
      </c>
      <c r="S263" s="1">
        <f>VLOOKUP($N263,AF!$B$39:$M$80,S$9)*$I263</f>
        <v>147664.65999999992</v>
      </c>
      <c r="T263" s="1">
        <f>VLOOKUP($N263,AF!$B$39:$M$80,T$9)*$I263</f>
        <v>0</v>
      </c>
      <c r="U263" s="1">
        <f>VLOOKUP($N263,AF!$B$39:$M$80,U$9)*$J263</f>
        <v>0</v>
      </c>
      <c r="V263" s="1">
        <f>VLOOKUP($N263,AF!$B$39:$M$80,V$9)*$J263</f>
        <v>0</v>
      </c>
      <c r="W263" s="1">
        <f t="shared" ref="W263" si="431">E263-SUM(O263:V263)</f>
        <v>0</v>
      </c>
      <c r="Y263" s="1">
        <f>+O263+Q263+S263+U263</f>
        <v>885267.29105921753</v>
      </c>
      <c r="Z263" s="1">
        <f>+P263+R263+T263+V263</f>
        <v>128041.94394078218</v>
      </c>
      <c r="AA263" s="1">
        <f t="shared" ref="AA263" si="432">+Z263+Y263+W263</f>
        <v>1013309.2349999998</v>
      </c>
      <c r="AB263" s="72">
        <f t="shared" ref="AB263" si="433">$E263-AA263</f>
        <v>0</v>
      </c>
      <c r="AD263" s="72">
        <v>305</v>
      </c>
      <c r="AE263" s="1">
        <f ca="1">VLOOKUP($AD263,AF!$B$39:$M$80,AE$9)*$O263</f>
        <v>98337.234229772032</v>
      </c>
      <c r="AF263" s="1">
        <f ca="1">VLOOKUP($AD263,AF!$B$39:$M$80,AF$9)*$P263</f>
        <v>35361.095593731159</v>
      </c>
      <c r="AG263" s="1">
        <f ca="1">VLOOKUP($AD263,AF!$B$39:$M$80,AG$9)*$Q263</f>
        <v>373725.4235604463</v>
      </c>
      <c r="AH263" s="1">
        <f ca="1">VLOOKUP($AD263,AF!$B$39:$M$80,AH$9)*$R263</f>
        <v>0</v>
      </c>
      <c r="AI263" s="1">
        <f ca="1">VLOOKUP($AD263,AF!$B$39:$M$80,AI$9)*$S263</f>
        <v>43235.095492983237</v>
      </c>
      <c r="AJ263" s="1">
        <f ca="1">VLOOKUP($AD263,AF!$B$39:$M$80,AJ$9)*$T263</f>
        <v>0</v>
      </c>
      <c r="AK263" s="1">
        <f ca="1">VLOOKUP($AD263,AF!$B$39:$M$80,AK$9)*$U263</f>
        <v>0</v>
      </c>
      <c r="AL263" s="1">
        <f ca="1">VLOOKUP($AD263,AF!$B$39:$M$80,AL$9)*$V263</f>
        <v>0</v>
      </c>
      <c r="AM263" s="1">
        <f ca="1">E263-SUM(AE263:AL263)</f>
        <v>462650.386123067</v>
      </c>
      <c r="AO263" s="1">
        <f ca="1">+AE263+AG263+AI263+AK263</f>
        <v>515297.7532832016</v>
      </c>
      <c r="AP263" s="1">
        <f ca="1">+AF263+AH263+AJ263+AL263</f>
        <v>35361.095593731159</v>
      </c>
      <c r="AQ263" s="1">
        <f t="shared" ref="AQ263" ca="1" si="434">+AP263+AO263+AM263</f>
        <v>1013309.2349999998</v>
      </c>
      <c r="AR263" s="72">
        <f t="shared" ref="AR263" ca="1" si="435">$E263-AQ263</f>
        <v>0</v>
      </c>
    </row>
    <row r="264" spans="1:44" ht="15.75" thickBot="1" x14ac:dyDescent="0.3">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5.75" thickTop="1" x14ac:dyDescent="0.25">
      <c r="A265" s="147">
        <f t="shared" si="315"/>
        <v>257</v>
      </c>
      <c r="C265" s="34" t="s">
        <v>17</v>
      </c>
      <c r="D265" s="34"/>
      <c r="E265" s="36">
        <f>+E253+E260+E263</f>
        <v>961872784.23500001</v>
      </c>
      <c r="F265" s="8"/>
      <c r="G265" s="36">
        <f t="shared" ref="G265:K265" si="436">+G253+G260+G263</f>
        <v>1297607.2945669291</v>
      </c>
      <c r="H265" s="36">
        <f t="shared" si="436"/>
        <v>2363848.7154724407</v>
      </c>
      <c r="I265" s="36">
        <f t="shared" si="436"/>
        <v>6317638.0955118109</v>
      </c>
      <c r="J265" s="36">
        <f t="shared" si="436"/>
        <v>0</v>
      </c>
      <c r="K265" s="36">
        <f t="shared" si="436"/>
        <v>827321846.8094486</v>
      </c>
      <c r="L265" s="72">
        <f>$E265-SUM(G265:K265)</f>
        <v>124571843.32000029</v>
      </c>
      <c r="N265" s="8"/>
      <c r="O265" s="36">
        <f t="shared" ref="O265:W265" si="437">+O253+O260+O263</f>
        <v>526275.52238668012</v>
      </c>
      <c r="P265" s="36">
        <f t="shared" si="437"/>
        <v>771331.7721802491</v>
      </c>
      <c r="Q265" s="36">
        <f t="shared" si="437"/>
        <v>2363848.7154724407</v>
      </c>
      <c r="R265" s="36">
        <f t="shared" si="437"/>
        <v>0</v>
      </c>
      <c r="S265" s="36">
        <f t="shared" si="437"/>
        <v>6317638.0955118109</v>
      </c>
      <c r="T265" s="36">
        <f t="shared" si="437"/>
        <v>0</v>
      </c>
      <c r="U265" s="36">
        <f t="shared" si="437"/>
        <v>0</v>
      </c>
      <c r="V265" s="36">
        <f t="shared" si="437"/>
        <v>0</v>
      </c>
      <c r="W265" s="36">
        <f t="shared" si="437"/>
        <v>951893690.12944865</v>
      </c>
      <c r="Y265" s="36">
        <f t="shared" ref="Y265:AA265" si="438">+Y253+Y260+Y263</f>
        <v>9207762.3333709314</v>
      </c>
      <c r="Z265" s="36">
        <f t="shared" si="438"/>
        <v>771331.7721802491</v>
      </c>
      <c r="AA265" s="36">
        <f t="shared" si="438"/>
        <v>961872784.23500001</v>
      </c>
      <c r="AB265" s="72">
        <f t="shared" ref="AB265:AB267" si="439">$E265-AA265</f>
        <v>0</v>
      </c>
      <c r="AD265" s="8"/>
      <c r="AE265" s="36">
        <f t="shared" ref="AE265:AM265" ca="1" si="440">+AE253+AE260+AE263</f>
        <v>382346.37309661484</v>
      </c>
      <c r="AF265" s="36">
        <f t="shared" ca="1" si="440"/>
        <v>193303.80551133404</v>
      </c>
      <c r="AG265" s="36">
        <f t="shared" ca="1" si="440"/>
        <v>1424307.0968814222</v>
      </c>
      <c r="AH265" s="36">
        <f t="shared" ca="1" si="440"/>
        <v>0</v>
      </c>
      <c r="AI265" s="36">
        <f t="shared" ca="1" si="440"/>
        <v>1661861.5603740511</v>
      </c>
      <c r="AJ265" s="36">
        <f t="shared" ca="1" si="440"/>
        <v>0</v>
      </c>
      <c r="AK265" s="36">
        <f t="shared" ca="1" si="440"/>
        <v>0</v>
      </c>
      <c r="AL265" s="36">
        <f t="shared" ca="1" si="440"/>
        <v>0</v>
      </c>
      <c r="AM265" s="36">
        <f t="shared" ca="1" si="440"/>
        <v>958210965.39913642</v>
      </c>
      <c r="AO265" s="36">
        <f ca="1">+AO253+AO260+AO263</f>
        <v>3468515.0303520886</v>
      </c>
      <c r="AP265" s="36">
        <f t="shared" ref="AP265" ca="1" si="441">+AP253+AP260+AP263</f>
        <v>193303.80551133404</v>
      </c>
      <c r="AQ265" s="1">
        <f t="shared" ref="AQ265" ca="1" si="442">+AP265+AO265+AM265</f>
        <v>961872784.2349999</v>
      </c>
      <c r="AR265" s="72">
        <f t="shared" ref="AR265" ca="1" si="443">$E265-AQ265</f>
        <v>0</v>
      </c>
    </row>
    <row r="266" spans="1:44" x14ac:dyDescent="0.25">
      <c r="A266" s="147">
        <f t="shared" si="315"/>
        <v>258</v>
      </c>
      <c r="C266" s="21" t="s">
        <v>735</v>
      </c>
      <c r="E266" s="22">
        <f>E265-E263</f>
        <v>960859475</v>
      </c>
      <c r="G266" s="22">
        <f t="shared" ref="G266:K266" si="444">G265-G263</f>
        <v>1043886.1445669291</v>
      </c>
      <c r="H266" s="22">
        <f t="shared" si="444"/>
        <v>1751925.2904724409</v>
      </c>
      <c r="I266" s="22">
        <f t="shared" si="444"/>
        <v>6169973.4355118107</v>
      </c>
      <c r="J266" s="22">
        <f t="shared" si="444"/>
        <v>0</v>
      </c>
      <c r="K266" s="22">
        <f t="shared" si="444"/>
        <v>827321846.8094486</v>
      </c>
      <c r="L266" s="72">
        <f>$E266-SUM(G266:K266)</f>
        <v>124571843.32000017</v>
      </c>
      <c r="O266" s="22">
        <f t="shared" ref="O266:W266" si="445">O265-O263</f>
        <v>400596.31632746226</v>
      </c>
      <c r="P266" s="22">
        <f t="shared" si="445"/>
        <v>643289.82823946688</v>
      </c>
      <c r="Q266" s="22">
        <f t="shared" si="445"/>
        <v>1751925.2904724409</v>
      </c>
      <c r="R266" s="22">
        <f t="shared" si="445"/>
        <v>0</v>
      </c>
      <c r="S266" s="22">
        <f t="shared" si="445"/>
        <v>6169973.4355118107</v>
      </c>
      <c r="T266" s="22">
        <f t="shared" si="445"/>
        <v>0</v>
      </c>
      <c r="U266" s="22">
        <f t="shared" si="445"/>
        <v>0</v>
      </c>
      <c r="V266" s="22">
        <f t="shared" si="445"/>
        <v>0</v>
      </c>
      <c r="W266" s="22">
        <f t="shared" si="445"/>
        <v>951893690.12944865</v>
      </c>
      <c r="Y266" s="22">
        <f t="shared" ref="Y266:AA266" si="446">Y265-Y263</f>
        <v>8322495.042311714</v>
      </c>
      <c r="Z266" s="22">
        <f t="shared" si="446"/>
        <v>643289.82823946688</v>
      </c>
      <c r="AA266" s="22">
        <f t="shared" si="446"/>
        <v>960859475</v>
      </c>
      <c r="AB266" s="72">
        <f t="shared" si="439"/>
        <v>0</v>
      </c>
      <c r="AE266" s="22">
        <f t="shared" ref="AE266:AM266" ca="1" si="447">AE265-AE263</f>
        <v>284009.13886684284</v>
      </c>
      <c r="AF266" s="22">
        <f t="shared" ca="1" si="447"/>
        <v>157942.70991760289</v>
      </c>
      <c r="AG266" s="22">
        <f t="shared" ca="1" si="447"/>
        <v>1050581.6733209759</v>
      </c>
      <c r="AH266" s="22">
        <f t="shared" ca="1" si="447"/>
        <v>0</v>
      </c>
      <c r="AI266" s="22">
        <f t="shared" ca="1" si="447"/>
        <v>1618626.4648810679</v>
      </c>
      <c r="AJ266" s="22">
        <f t="shared" ca="1" si="447"/>
        <v>0</v>
      </c>
      <c r="AK266" s="22">
        <f t="shared" ca="1" si="447"/>
        <v>0</v>
      </c>
      <c r="AL266" s="22">
        <f t="shared" ca="1" si="447"/>
        <v>0</v>
      </c>
      <c r="AM266" s="22">
        <f t="shared" ca="1" si="447"/>
        <v>957748315.01301336</v>
      </c>
      <c r="AO266" s="22">
        <f ca="1">AO265-AO263</f>
        <v>2953217.2770688869</v>
      </c>
      <c r="AP266" s="22">
        <f t="shared" ref="AP266:AQ266" ca="1" si="448">AP265-AP263</f>
        <v>157942.70991760289</v>
      </c>
      <c r="AQ266" s="22">
        <f t="shared" ca="1" si="448"/>
        <v>960859474.99999988</v>
      </c>
      <c r="AR266" s="72">
        <f t="shared" ref="AR266" ca="1" si="449">$E266-AQ266</f>
        <v>0</v>
      </c>
    </row>
    <row r="267" spans="1:44" x14ac:dyDescent="0.25">
      <c r="A267" s="147">
        <f t="shared" si="315"/>
        <v>259</v>
      </c>
      <c r="C267" s="21" t="s">
        <v>758</v>
      </c>
      <c r="E267" s="22">
        <f>E228-E226</f>
        <v>726858623</v>
      </c>
      <c r="G267" s="22">
        <f>G228-G226</f>
        <v>324436.1713385827</v>
      </c>
      <c r="H267" s="22">
        <f t="shared" ref="H267:K267" si="450">H228-H226</f>
        <v>74797.779448818881</v>
      </c>
      <c r="I267" s="22">
        <f t="shared" si="450"/>
        <v>1691563.4902362204</v>
      </c>
      <c r="J267" s="22">
        <f t="shared" si="450"/>
        <v>0</v>
      </c>
      <c r="K267" s="22">
        <f t="shared" si="450"/>
        <v>724767825.55897629</v>
      </c>
      <c r="L267" s="72">
        <f>$E267-SUM(G267:K267)</f>
        <v>0</v>
      </c>
      <c r="O267" s="22">
        <f t="shared" ref="O267:AA267" si="451">O228-O226</f>
        <v>108432.60655293288</v>
      </c>
      <c r="P267" s="22">
        <f t="shared" si="451"/>
        <v>216003.56478564983</v>
      </c>
      <c r="Q267" s="22">
        <f t="shared" si="451"/>
        <v>74797.779448818881</v>
      </c>
      <c r="R267" s="22">
        <f t="shared" si="451"/>
        <v>0</v>
      </c>
      <c r="S267" s="22">
        <f t="shared" si="451"/>
        <v>1691563.4902362204</v>
      </c>
      <c r="T267" s="22">
        <f t="shared" si="451"/>
        <v>0</v>
      </c>
      <c r="U267" s="22">
        <f t="shared" si="451"/>
        <v>0</v>
      </c>
      <c r="V267" s="22">
        <f t="shared" si="451"/>
        <v>0</v>
      </c>
      <c r="W267" s="22">
        <f t="shared" si="451"/>
        <v>724767825.55897629</v>
      </c>
      <c r="Y267" s="22">
        <f t="shared" si="451"/>
        <v>1874793.8762379722</v>
      </c>
      <c r="Z267" s="22">
        <f t="shared" si="451"/>
        <v>216003.56478564983</v>
      </c>
      <c r="AA267" s="22">
        <f t="shared" si="451"/>
        <v>726858623</v>
      </c>
      <c r="AB267" s="72">
        <f t="shared" si="439"/>
        <v>0</v>
      </c>
      <c r="AE267" s="22">
        <f t="shared" ref="AE267:AQ267" ca="1" si="452">AE228-AE226</f>
        <v>60829.016841255601</v>
      </c>
      <c r="AF267" s="22">
        <f t="shared" ca="1" si="452"/>
        <v>42817.002991595888</v>
      </c>
      <c r="AG267" s="22">
        <f t="shared" ca="1" si="452"/>
        <v>24362.692313700099</v>
      </c>
      <c r="AH267" s="22">
        <f t="shared" ca="1" si="452"/>
        <v>0</v>
      </c>
      <c r="AI267" s="22">
        <f t="shared" ca="1" si="452"/>
        <v>307818.91047505615</v>
      </c>
      <c r="AJ267" s="22">
        <f t="shared" ca="1" si="452"/>
        <v>0</v>
      </c>
      <c r="AK267" s="22">
        <f t="shared" ca="1" si="452"/>
        <v>0</v>
      </c>
      <c r="AL267" s="22">
        <f t="shared" ca="1" si="452"/>
        <v>0</v>
      </c>
      <c r="AM267" s="22">
        <f t="shared" ca="1" si="452"/>
        <v>726422795.37737834</v>
      </c>
      <c r="AN267" s="22"/>
      <c r="AO267" s="22">
        <f t="shared" ca="1" si="452"/>
        <v>393010.6196300119</v>
      </c>
      <c r="AP267" s="22">
        <f t="shared" ca="1" si="452"/>
        <v>42817.002991595888</v>
      </c>
      <c r="AQ267" s="22">
        <f t="shared" ca="1" si="452"/>
        <v>726858623</v>
      </c>
      <c r="AR267" s="72"/>
    </row>
    <row r="268" spans="1:44" x14ac:dyDescent="0.25">
      <c r="A268" s="147">
        <f t="shared" si="315"/>
        <v>260</v>
      </c>
      <c r="C268" s="21" t="s">
        <v>762</v>
      </c>
      <c r="E268" s="22"/>
      <c r="G268" s="22"/>
      <c r="H268" s="22"/>
      <c r="I268" s="22"/>
      <c r="J268" s="22"/>
      <c r="K268" s="22"/>
      <c r="L268" s="72"/>
      <c r="O268" s="13">
        <f>IFERROR(O267/$E$267,0)</f>
        <v>1.4917977598641335E-4</v>
      </c>
      <c r="P268" s="13">
        <f t="shared" ref="P268:W268" si="453">IFERROR(P267/$E$267,0)</f>
        <v>2.9717411055003721E-4</v>
      </c>
      <c r="Q268" s="13">
        <f t="shared" si="453"/>
        <v>1.0290554047512329E-4</v>
      </c>
      <c r="R268" s="13">
        <f t="shared" si="453"/>
        <v>0</v>
      </c>
      <c r="S268" s="13">
        <f t="shared" si="453"/>
        <v>2.3272249055181402E-3</v>
      </c>
      <c r="T268" s="13">
        <f t="shared" si="453"/>
        <v>0</v>
      </c>
      <c r="U268" s="13">
        <f t="shared" si="453"/>
        <v>0</v>
      </c>
      <c r="V268" s="13">
        <f t="shared" si="453"/>
        <v>0</v>
      </c>
      <c r="W268" s="13">
        <f t="shared" si="453"/>
        <v>0.99712351566747015</v>
      </c>
      <c r="Y268" s="22"/>
      <c r="Z268" s="22"/>
      <c r="AA268" s="22"/>
      <c r="AB268" s="72"/>
      <c r="AE268" s="22"/>
      <c r="AF268" s="22"/>
      <c r="AG268" s="22"/>
      <c r="AH268" s="22"/>
      <c r="AI268" s="22"/>
      <c r="AJ268" s="22"/>
      <c r="AK268" s="22"/>
      <c r="AL268" s="22"/>
      <c r="AM268" s="22"/>
      <c r="AO268" s="22"/>
      <c r="AP268" s="22"/>
      <c r="AQ268" s="22"/>
      <c r="AR268" s="72"/>
    </row>
    <row r="269" spans="1:44" x14ac:dyDescent="0.25">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25">
      <c r="A270" s="147">
        <f t="shared" ref="A270:A286" si="454">+A269+1</f>
        <v>262</v>
      </c>
      <c r="C270" s="21" t="s">
        <v>763</v>
      </c>
      <c r="E270" s="22">
        <f>+E117</f>
        <v>81911523</v>
      </c>
      <c r="G270" s="22">
        <f t="shared" ref="G270:K270" si="455">+G117</f>
        <v>73082.065905511816</v>
      </c>
      <c r="H270" s="22">
        <f t="shared" si="455"/>
        <v>5547.113254593176</v>
      </c>
      <c r="I270" s="22">
        <f t="shared" si="455"/>
        <v>152961.39241469817</v>
      </c>
      <c r="J270" s="22">
        <f t="shared" si="455"/>
        <v>0</v>
      </c>
      <c r="K270" s="22">
        <f t="shared" si="455"/>
        <v>81679932.428425193</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25">
      <c r="A271" s="147">
        <f t="shared" si="454"/>
        <v>263</v>
      </c>
      <c r="C271" s="21" t="s">
        <v>764</v>
      </c>
      <c r="E271" s="22">
        <f>-E61</f>
        <v>-422690</v>
      </c>
      <c r="G271" s="22">
        <f t="shared" ref="G271:K271" si="456">-G61</f>
        <v>-6656.535433070866</v>
      </c>
      <c r="H271" s="22">
        <f t="shared" si="456"/>
        <v>-5547.1128608923882</v>
      </c>
      <c r="I271" s="22">
        <f t="shared" si="456"/>
        <v>-17750.761154855642</v>
      </c>
      <c r="J271" s="22">
        <f t="shared" si="456"/>
        <v>0</v>
      </c>
      <c r="K271" s="22">
        <f t="shared" si="456"/>
        <v>-392735.59055118111</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25">
      <c r="A272" s="147">
        <f t="shared" si="454"/>
        <v>264</v>
      </c>
      <c r="C272" s="21" t="s">
        <v>765</v>
      </c>
      <c r="E272" s="22">
        <f>E270+E271</f>
        <v>81488833</v>
      </c>
      <c r="G272" s="22">
        <f t="shared" ref="G272:K272" si="457">G270+G271</f>
        <v>66425.530472440951</v>
      </c>
      <c r="H272" s="22">
        <f t="shared" si="457"/>
        <v>3.9370078775391448E-4</v>
      </c>
      <c r="I272" s="22">
        <f t="shared" si="457"/>
        <v>135210.63125984254</v>
      </c>
      <c r="J272" s="22">
        <f t="shared" si="457"/>
        <v>0</v>
      </c>
      <c r="K272" s="22">
        <f t="shared" si="457"/>
        <v>81287196.83787401</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25">
      <c r="A273" s="147">
        <f t="shared" si="454"/>
        <v>265</v>
      </c>
      <c r="C273" s="21" t="s">
        <v>768</v>
      </c>
      <c r="E273" s="13">
        <f>IFERROR(E272/$E$272,0)</f>
        <v>1</v>
      </c>
      <c r="F273" s="118">
        <v>104</v>
      </c>
      <c r="G273" s="13">
        <f>IFERROR(G272/$E$272,0)</f>
        <v>8.1514887410942495E-4</v>
      </c>
      <c r="H273" s="13">
        <f t="shared" ref="H273:K273" si="458">IFERROR(H272/$E$272,0)</f>
        <v>4.8313464957083685E-12</v>
      </c>
      <c r="I273" s="13">
        <f t="shared" si="458"/>
        <v>1.6592534986952451E-3</v>
      </c>
      <c r="J273" s="13">
        <f t="shared" si="458"/>
        <v>0</v>
      </c>
      <c r="K273" s="13">
        <f t="shared" si="458"/>
        <v>0.99752559762236392</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25">
      <c r="A274" s="147">
        <f t="shared" si="454"/>
        <v>266</v>
      </c>
      <c r="C274" s="21" t="s">
        <v>766</v>
      </c>
      <c r="E274" s="22">
        <f>-(E85+E86)</f>
        <v>-78581919</v>
      </c>
      <c r="G274" s="22">
        <f t="shared" ref="G274:K274" si="459">-(G85+G86)</f>
        <v>0</v>
      </c>
      <c r="H274" s="22">
        <f t="shared" si="459"/>
        <v>0</v>
      </c>
      <c r="I274" s="22">
        <f t="shared" si="459"/>
        <v>0</v>
      </c>
      <c r="J274" s="22">
        <f t="shared" si="459"/>
        <v>0</v>
      </c>
      <c r="K274" s="22">
        <f t="shared" si="459"/>
        <v>-78581919</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25">
      <c r="A275" s="147">
        <f t="shared" si="454"/>
        <v>267</v>
      </c>
      <c r="C275" s="21" t="s">
        <v>767</v>
      </c>
      <c r="E275" s="22">
        <f>E272+E274</f>
        <v>2906914</v>
      </c>
      <c r="G275" s="22">
        <f t="shared" ref="G275:K275" si="460">G272+G274</f>
        <v>66425.530472440951</v>
      </c>
      <c r="H275" s="22">
        <f t="shared" si="460"/>
        <v>3.9370078775391448E-4</v>
      </c>
      <c r="I275" s="22">
        <f t="shared" si="460"/>
        <v>135210.63125984254</v>
      </c>
      <c r="J275" s="22">
        <f t="shared" si="460"/>
        <v>0</v>
      </c>
      <c r="K275" s="22">
        <f t="shared" si="460"/>
        <v>2705277.8378740102</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25">
      <c r="A276" s="147">
        <f t="shared" si="454"/>
        <v>268</v>
      </c>
      <c r="C276" s="21" t="s">
        <v>769</v>
      </c>
      <c r="E276" s="13">
        <f>IFERROR(E275/$E$275,0)</f>
        <v>1</v>
      </c>
      <c r="F276" s="135">
        <v>105</v>
      </c>
      <c r="G276" s="13">
        <f t="shared" ref="G276:K276" si="461">IFERROR(G275/$E$275,0)</f>
        <v>2.2850875695820706E-2</v>
      </c>
      <c r="H276" s="13">
        <f t="shared" si="461"/>
        <v>1.3543599423784622E-10</v>
      </c>
      <c r="I276" s="13">
        <f t="shared" si="461"/>
        <v>4.6513461099930216E-2</v>
      </c>
      <c r="J276" s="13">
        <f t="shared" si="461"/>
        <v>0</v>
      </c>
      <c r="K276" s="13">
        <f t="shared" si="461"/>
        <v>0.93063566306881118</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25">
      <c r="A277" s="147">
        <f t="shared" si="454"/>
        <v>269</v>
      </c>
    </row>
    <row r="278" spans="1:43" x14ac:dyDescent="0.25">
      <c r="A278" s="147">
        <f t="shared" si="454"/>
        <v>270</v>
      </c>
    </row>
    <row r="279" spans="1:43" x14ac:dyDescent="0.25">
      <c r="A279" s="147">
        <f t="shared" si="454"/>
        <v>271</v>
      </c>
      <c r="C279" s="86" t="s">
        <v>197</v>
      </c>
    </row>
    <row r="280" spans="1:43" x14ac:dyDescent="0.25">
      <c r="A280" s="147">
        <f t="shared" si="454"/>
        <v>272</v>
      </c>
      <c r="C280" s="21" t="s">
        <v>194</v>
      </c>
      <c r="G280" s="1">
        <f>+Debt!G20</f>
        <v>175008.74</v>
      </c>
      <c r="H280" s="1">
        <f>+Debt!G26</f>
        <v>637145.66</v>
      </c>
      <c r="I280" s="1">
        <f>+Debt!G32</f>
        <v>875989.41</v>
      </c>
      <c r="J280" s="1">
        <f>+Debt!G38</f>
        <v>0</v>
      </c>
    </row>
    <row r="281" spans="1:43" x14ac:dyDescent="0.25">
      <c r="A281" s="147">
        <f t="shared" si="454"/>
        <v>273</v>
      </c>
      <c r="C281" s="21" t="s">
        <v>2</v>
      </c>
      <c r="G281" s="1">
        <f>+G260</f>
        <v>273799.12</v>
      </c>
      <c r="H281" s="1">
        <f>+H260</f>
        <v>707641.97</v>
      </c>
      <c r="I281" s="1">
        <f>+I260</f>
        <v>1413817.15</v>
      </c>
      <c r="J281" s="1">
        <f>+J260</f>
        <v>0</v>
      </c>
    </row>
    <row r="282" spans="1:43" x14ac:dyDescent="0.25">
      <c r="A282" s="147">
        <f t="shared" si="454"/>
        <v>274</v>
      </c>
      <c r="C282" s="21" t="s">
        <v>0</v>
      </c>
      <c r="G282" s="1">
        <f>G280+G281</f>
        <v>448807.86</v>
      </c>
      <c r="H282" s="1">
        <f t="shared" ref="H282:I282" si="462">H280+H281</f>
        <v>1344787.63</v>
      </c>
      <c r="I282" s="1">
        <f t="shared" si="462"/>
        <v>2289806.56</v>
      </c>
      <c r="J282" s="1">
        <f>J280+J281</f>
        <v>0</v>
      </c>
    </row>
    <row r="283" spans="1:43" x14ac:dyDescent="0.25">
      <c r="A283" s="147">
        <f t="shared" si="454"/>
        <v>275</v>
      </c>
      <c r="C283" s="21" t="s">
        <v>198</v>
      </c>
      <c r="G283" s="134">
        <v>1.5</v>
      </c>
      <c r="H283" s="134">
        <v>1.5</v>
      </c>
      <c r="I283" s="134">
        <v>1.5</v>
      </c>
      <c r="J283" s="134">
        <v>1.5</v>
      </c>
    </row>
    <row r="284" spans="1:43" x14ac:dyDescent="0.25">
      <c r="A284" s="147">
        <f t="shared" si="454"/>
        <v>276</v>
      </c>
      <c r="C284" s="21" t="s">
        <v>734</v>
      </c>
      <c r="G284" s="1">
        <f>G282*G283</f>
        <v>673211.79</v>
      </c>
      <c r="H284" s="1">
        <f t="shared" ref="H284:I284" si="463">H282*H283</f>
        <v>2017181.4449999998</v>
      </c>
      <c r="I284" s="1">
        <f t="shared" si="463"/>
        <v>3434709.84</v>
      </c>
      <c r="J284" s="1">
        <f>J282*J283</f>
        <v>0</v>
      </c>
    </row>
    <row r="285" spans="1:43" x14ac:dyDescent="0.25">
      <c r="A285" s="147">
        <f t="shared" si="454"/>
        <v>277</v>
      </c>
      <c r="C285" s="21" t="s">
        <v>195</v>
      </c>
      <c r="G285" s="1">
        <f>-(G235+G238)</f>
        <v>-145691.52000000002</v>
      </c>
      <c r="H285" s="1">
        <f>-(H235+H238)</f>
        <v>-697616.05</v>
      </c>
      <c r="I285" s="1">
        <f>-(I235+I238)</f>
        <v>-1873228.03</v>
      </c>
      <c r="J285" s="1">
        <f>-(J235+J238)</f>
        <v>0</v>
      </c>
    </row>
    <row r="286" spans="1:43" x14ac:dyDescent="0.25">
      <c r="A286" s="147">
        <f t="shared" si="454"/>
        <v>278</v>
      </c>
      <c r="C286" s="21" t="s">
        <v>196</v>
      </c>
      <c r="G286" s="1">
        <f>-G281</f>
        <v>-273799.12</v>
      </c>
      <c r="H286" s="1">
        <f t="shared" ref="H286:I286" si="464">-H281</f>
        <v>-707641.97</v>
      </c>
      <c r="I286" s="1">
        <f t="shared" si="464"/>
        <v>-1413817.15</v>
      </c>
      <c r="J286" s="1">
        <f>-J281</f>
        <v>0</v>
      </c>
    </row>
    <row r="287" spans="1:43" x14ac:dyDescent="0.25">
      <c r="A287" s="118">
        <f t="shared" ref="A287" si="465">+A286+1</f>
        <v>279</v>
      </c>
      <c r="C287" s="21" t="s">
        <v>16</v>
      </c>
      <c r="G287" s="1">
        <f>SUM(G284:G286)</f>
        <v>253721.15000000002</v>
      </c>
      <c r="H287" s="1">
        <f t="shared" ref="H287:I287" si="466">SUM(H284:H286)</f>
        <v>611923.42499999981</v>
      </c>
      <c r="I287" s="1">
        <f t="shared" si="466"/>
        <v>147664.65999999992</v>
      </c>
      <c r="J287" s="1">
        <f>SUM(J284:J286)</f>
        <v>0</v>
      </c>
    </row>
    <row r="289" spans="1:44" x14ac:dyDescent="0.25">
      <c r="A289" t="s">
        <v>836</v>
      </c>
    </row>
    <row r="290" spans="1:44" x14ac:dyDescent="0.25">
      <c r="A290" t="s">
        <v>834</v>
      </c>
      <c r="E290" s="22"/>
    </row>
    <row r="291" spans="1:44" x14ac:dyDescent="0.25">
      <c r="E291" s="22"/>
    </row>
    <row r="293" spans="1:44" x14ac:dyDescent="0.25">
      <c r="E293" s="22"/>
      <c r="AR293" s="8"/>
    </row>
    <row r="294" spans="1:44" x14ac:dyDescent="0.25">
      <c r="E294" s="22"/>
    </row>
    <row r="295" spans="1:44" x14ac:dyDescent="0.25">
      <c r="E295" s="22"/>
    </row>
    <row r="296" spans="1:44" x14ac:dyDescent="0.25">
      <c r="E296" s="22"/>
    </row>
    <row r="299" spans="1:44" x14ac:dyDescent="0.25">
      <c r="E299" s="22"/>
    </row>
    <row r="300" spans="1:44" x14ac:dyDescent="0.25">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6" formulaRange="1"/>
    <ignoredError sqref="E82:E84 E95:E105 E86 E88:E90 E109:E113 E80 E107" formula="1" formulaRange="1"/>
    <ignoredError sqref="E91:E93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U82"/>
  <sheetViews>
    <sheetView zoomScaleNormal="100" workbookViewId="0">
      <selection activeCell="D21" sqref="D21"/>
    </sheetView>
  </sheetViews>
  <sheetFormatPr defaultRowHeight="15" x14ac:dyDescent="0.25"/>
  <cols>
    <col min="1" max="1" width="4.28515625" style="59" customWidth="1"/>
    <col min="2" max="2" width="7.28515625" style="59" bestFit="1" customWidth="1"/>
    <col min="3" max="3" width="66.7109375" style="59" bestFit="1" customWidth="1"/>
    <col min="4" max="13" width="12.7109375" style="59" customWidth="1"/>
    <col min="14" max="14" width="12.85546875" style="59" bestFit="1" customWidth="1"/>
    <col min="15" max="15" width="19.140625" style="59" bestFit="1" customWidth="1"/>
    <col min="16" max="16" width="13.5703125" style="59" bestFit="1" customWidth="1"/>
    <col min="17" max="17" width="8.5703125" style="59" bestFit="1" customWidth="1"/>
    <col min="18" max="18" width="12.5703125" style="59" bestFit="1" customWidth="1"/>
    <col min="19" max="19" width="10.85546875" style="59" bestFit="1" customWidth="1"/>
    <col min="20" max="20" width="9.140625" style="59"/>
    <col min="21" max="21" width="9.42578125" style="59" bestFit="1" customWidth="1"/>
    <col min="22" max="246" width="9.140625" style="59"/>
    <col min="247" max="247" width="5.7109375" style="59" customWidth="1"/>
    <col min="248" max="248" width="26.7109375" style="59" customWidth="1"/>
    <col min="249" max="250" width="11.7109375" style="59" customWidth="1"/>
    <col min="251" max="251" width="1.7109375" style="59" customWidth="1"/>
    <col min="252" max="252" width="13" style="59" customWidth="1"/>
    <col min="253" max="253" width="11.85546875" style="59" customWidth="1"/>
    <col min="254" max="254" width="11.42578125" style="59" customWidth="1"/>
    <col min="255" max="255" width="1.7109375" style="59" customWidth="1"/>
    <col min="256" max="256" width="14.28515625" style="59" bestFit="1" customWidth="1"/>
    <col min="257" max="257" width="15.85546875" style="59" bestFit="1" customWidth="1"/>
    <col min="258" max="258" width="11.140625" style="59" customWidth="1"/>
    <col min="259" max="259" width="1.7109375" style="59" customWidth="1"/>
    <col min="260" max="260" width="14.140625" style="59" bestFit="1" customWidth="1"/>
    <col min="261" max="261" width="14.28515625" style="59" bestFit="1" customWidth="1"/>
    <col min="262" max="262" width="11.140625" style="59" customWidth="1"/>
    <col min="263" max="502" width="9.140625" style="59"/>
    <col min="503" max="503" width="5.7109375" style="59" customWidth="1"/>
    <col min="504" max="504" width="26.7109375" style="59" customWidth="1"/>
    <col min="505" max="506" width="11.7109375" style="59" customWidth="1"/>
    <col min="507" max="507" width="1.7109375" style="59" customWidth="1"/>
    <col min="508" max="508" width="13" style="59" customWidth="1"/>
    <col min="509" max="509" width="11.85546875" style="59" customWidth="1"/>
    <col min="510" max="510" width="11.42578125" style="59" customWidth="1"/>
    <col min="511" max="511" width="1.7109375" style="59" customWidth="1"/>
    <col min="512" max="512" width="14.28515625" style="59" bestFit="1" customWidth="1"/>
    <col min="513" max="513" width="15.85546875" style="59" bestFit="1" customWidth="1"/>
    <col min="514" max="514" width="11.140625" style="59" customWidth="1"/>
    <col min="515" max="515" width="1.7109375" style="59" customWidth="1"/>
    <col min="516" max="516" width="14.140625" style="59" bestFit="1" customWidth="1"/>
    <col min="517" max="517" width="14.28515625" style="59" bestFit="1" customWidth="1"/>
    <col min="518" max="518" width="11.140625" style="59" customWidth="1"/>
    <col min="519" max="758" width="9.140625" style="59"/>
    <col min="759" max="759" width="5.7109375" style="59" customWidth="1"/>
    <col min="760" max="760" width="26.7109375" style="59" customWidth="1"/>
    <col min="761" max="762" width="11.7109375" style="59" customWidth="1"/>
    <col min="763" max="763" width="1.7109375" style="59" customWidth="1"/>
    <col min="764" max="764" width="13" style="59" customWidth="1"/>
    <col min="765" max="765" width="11.85546875" style="59" customWidth="1"/>
    <col min="766" max="766" width="11.42578125" style="59" customWidth="1"/>
    <col min="767" max="767" width="1.7109375" style="59" customWidth="1"/>
    <col min="768" max="768" width="14.28515625" style="59" bestFit="1" customWidth="1"/>
    <col min="769" max="769" width="15.85546875" style="59" bestFit="1" customWidth="1"/>
    <col min="770" max="770" width="11.140625" style="59" customWidth="1"/>
    <col min="771" max="771" width="1.7109375" style="59" customWidth="1"/>
    <col min="772" max="772" width="14.140625" style="59" bestFit="1" customWidth="1"/>
    <col min="773" max="773" width="14.28515625" style="59" bestFit="1" customWidth="1"/>
    <col min="774" max="774" width="11.140625" style="59" customWidth="1"/>
    <col min="775" max="1014" width="9.140625" style="59"/>
    <col min="1015" max="1015" width="5.7109375" style="59" customWidth="1"/>
    <col min="1016" max="1016" width="26.7109375" style="59" customWidth="1"/>
    <col min="1017" max="1018" width="11.7109375" style="59" customWidth="1"/>
    <col min="1019" max="1019" width="1.7109375" style="59" customWidth="1"/>
    <col min="1020" max="1020" width="13" style="59" customWidth="1"/>
    <col min="1021" max="1021" width="11.85546875" style="59" customWidth="1"/>
    <col min="1022" max="1022" width="11.42578125" style="59" customWidth="1"/>
    <col min="1023" max="1023" width="1.7109375" style="59" customWidth="1"/>
    <col min="1024" max="1024" width="14.28515625" style="59" bestFit="1" customWidth="1"/>
    <col min="1025" max="1025" width="15.85546875" style="59" bestFit="1" customWidth="1"/>
    <col min="1026" max="1026" width="11.140625" style="59" customWidth="1"/>
    <col min="1027" max="1027" width="1.7109375" style="59" customWidth="1"/>
    <col min="1028" max="1028" width="14.140625" style="59" bestFit="1" customWidth="1"/>
    <col min="1029" max="1029" width="14.28515625" style="59" bestFit="1" customWidth="1"/>
    <col min="1030" max="1030" width="11.140625" style="59" customWidth="1"/>
    <col min="1031" max="1270" width="9.140625" style="59"/>
    <col min="1271" max="1271" width="5.7109375" style="59" customWidth="1"/>
    <col min="1272" max="1272" width="26.7109375" style="59" customWidth="1"/>
    <col min="1273" max="1274" width="11.7109375" style="59" customWidth="1"/>
    <col min="1275" max="1275" width="1.7109375" style="59" customWidth="1"/>
    <col min="1276" max="1276" width="13" style="59" customWidth="1"/>
    <col min="1277" max="1277" width="11.85546875" style="59" customWidth="1"/>
    <col min="1278" max="1278" width="11.42578125" style="59" customWidth="1"/>
    <col min="1279" max="1279" width="1.7109375" style="59" customWidth="1"/>
    <col min="1280" max="1280" width="14.28515625" style="59" bestFit="1" customWidth="1"/>
    <col min="1281" max="1281" width="15.85546875" style="59" bestFit="1" customWidth="1"/>
    <col min="1282" max="1282" width="11.140625" style="59" customWidth="1"/>
    <col min="1283" max="1283" width="1.7109375" style="59" customWidth="1"/>
    <col min="1284" max="1284" width="14.140625" style="59" bestFit="1" customWidth="1"/>
    <col min="1285" max="1285" width="14.28515625" style="59" bestFit="1" customWidth="1"/>
    <col min="1286" max="1286" width="11.140625" style="59" customWidth="1"/>
    <col min="1287" max="1526" width="9.140625" style="59"/>
    <col min="1527" max="1527" width="5.7109375" style="59" customWidth="1"/>
    <col min="1528" max="1528" width="26.7109375" style="59" customWidth="1"/>
    <col min="1529" max="1530" width="11.7109375" style="59" customWidth="1"/>
    <col min="1531" max="1531" width="1.7109375" style="59" customWidth="1"/>
    <col min="1532" max="1532" width="13" style="59" customWidth="1"/>
    <col min="1533" max="1533" width="11.85546875" style="59" customWidth="1"/>
    <col min="1534" max="1534" width="11.42578125" style="59" customWidth="1"/>
    <col min="1535" max="1535" width="1.7109375" style="59" customWidth="1"/>
    <col min="1536" max="1536" width="14.28515625" style="59" bestFit="1" customWidth="1"/>
    <col min="1537" max="1537" width="15.85546875" style="59" bestFit="1" customWidth="1"/>
    <col min="1538" max="1538" width="11.140625" style="59" customWidth="1"/>
    <col min="1539" max="1539" width="1.7109375" style="59" customWidth="1"/>
    <col min="1540" max="1540" width="14.140625" style="59" bestFit="1" customWidth="1"/>
    <col min="1541" max="1541" width="14.28515625" style="59" bestFit="1" customWidth="1"/>
    <col min="1542" max="1542" width="11.140625" style="59" customWidth="1"/>
    <col min="1543" max="1782" width="9.140625" style="59"/>
    <col min="1783" max="1783" width="5.7109375" style="59" customWidth="1"/>
    <col min="1784" max="1784" width="26.7109375" style="59" customWidth="1"/>
    <col min="1785" max="1786" width="11.7109375" style="59" customWidth="1"/>
    <col min="1787" max="1787" width="1.7109375" style="59" customWidth="1"/>
    <col min="1788" max="1788" width="13" style="59" customWidth="1"/>
    <col min="1789" max="1789" width="11.85546875" style="59" customWidth="1"/>
    <col min="1790" max="1790" width="11.42578125" style="59" customWidth="1"/>
    <col min="1791" max="1791" width="1.7109375" style="59" customWidth="1"/>
    <col min="1792" max="1792" width="14.28515625" style="59" bestFit="1" customWidth="1"/>
    <col min="1793" max="1793" width="15.85546875" style="59" bestFit="1" customWidth="1"/>
    <col min="1794" max="1794" width="11.140625" style="59" customWidth="1"/>
    <col min="1795" max="1795" width="1.7109375" style="59" customWidth="1"/>
    <col min="1796" max="1796" width="14.140625" style="59" bestFit="1" customWidth="1"/>
    <col min="1797" max="1797" width="14.28515625" style="59" bestFit="1" customWidth="1"/>
    <col min="1798" max="1798" width="11.140625" style="59" customWidth="1"/>
    <col min="1799" max="2038" width="9.140625" style="59"/>
    <col min="2039" max="2039" width="5.7109375" style="59" customWidth="1"/>
    <col min="2040" max="2040" width="26.7109375" style="59" customWidth="1"/>
    <col min="2041" max="2042" width="11.7109375" style="59" customWidth="1"/>
    <col min="2043" max="2043" width="1.7109375" style="59" customWidth="1"/>
    <col min="2044" max="2044" width="13" style="59" customWidth="1"/>
    <col min="2045" max="2045" width="11.85546875" style="59" customWidth="1"/>
    <col min="2046" max="2046" width="11.42578125" style="59" customWidth="1"/>
    <col min="2047" max="2047" width="1.7109375" style="59" customWidth="1"/>
    <col min="2048" max="2048" width="14.28515625" style="59" bestFit="1" customWidth="1"/>
    <col min="2049" max="2049" width="15.85546875" style="59" bestFit="1" customWidth="1"/>
    <col min="2050" max="2050" width="11.140625" style="59" customWidth="1"/>
    <col min="2051" max="2051" width="1.7109375" style="59" customWidth="1"/>
    <col min="2052" max="2052" width="14.140625" style="59" bestFit="1" customWidth="1"/>
    <col min="2053" max="2053" width="14.28515625" style="59" bestFit="1" customWidth="1"/>
    <col min="2054" max="2054" width="11.140625" style="59" customWidth="1"/>
    <col min="2055" max="2294" width="9.140625" style="59"/>
    <col min="2295" max="2295" width="5.7109375" style="59" customWidth="1"/>
    <col min="2296" max="2296" width="26.7109375" style="59" customWidth="1"/>
    <col min="2297" max="2298" width="11.7109375" style="59" customWidth="1"/>
    <col min="2299" max="2299" width="1.7109375" style="59" customWidth="1"/>
    <col min="2300" max="2300" width="13" style="59" customWidth="1"/>
    <col min="2301" max="2301" width="11.85546875" style="59" customWidth="1"/>
    <col min="2302" max="2302" width="11.42578125" style="59" customWidth="1"/>
    <col min="2303" max="2303" width="1.7109375" style="59" customWidth="1"/>
    <col min="2304" max="2304" width="14.28515625" style="59" bestFit="1" customWidth="1"/>
    <col min="2305" max="2305" width="15.85546875" style="59" bestFit="1" customWidth="1"/>
    <col min="2306" max="2306" width="11.140625" style="59" customWidth="1"/>
    <col min="2307" max="2307" width="1.7109375" style="59" customWidth="1"/>
    <col min="2308" max="2308" width="14.140625" style="59" bestFit="1" customWidth="1"/>
    <col min="2309" max="2309" width="14.28515625" style="59" bestFit="1" customWidth="1"/>
    <col min="2310" max="2310" width="11.140625" style="59" customWidth="1"/>
    <col min="2311" max="2550" width="9.140625" style="59"/>
    <col min="2551" max="2551" width="5.7109375" style="59" customWidth="1"/>
    <col min="2552" max="2552" width="26.7109375" style="59" customWidth="1"/>
    <col min="2553" max="2554" width="11.7109375" style="59" customWidth="1"/>
    <col min="2555" max="2555" width="1.7109375" style="59" customWidth="1"/>
    <col min="2556" max="2556" width="13" style="59" customWidth="1"/>
    <col min="2557" max="2557" width="11.85546875" style="59" customWidth="1"/>
    <col min="2558" max="2558" width="11.42578125" style="59" customWidth="1"/>
    <col min="2559" max="2559" width="1.7109375" style="59" customWidth="1"/>
    <col min="2560" max="2560" width="14.28515625" style="59" bestFit="1" customWidth="1"/>
    <col min="2561" max="2561" width="15.85546875" style="59" bestFit="1" customWidth="1"/>
    <col min="2562" max="2562" width="11.140625" style="59" customWidth="1"/>
    <col min="2563" max="2563" width="1.7109375" style="59" customWidth="1"/>
    <col min="2564" max="2564" width="14.140625" style="59" bestFit="1" customWidth="1"/>
    <col min="2565" max="2565" width="14.28515625" style="59" bestFit="1" customWidth="1"/>
    <col min="2566" max="2566" width="11.140625" style="59" customWidth="1"/>
    <col min="2567" max="2806" width="9.140625" style="59"/>
    <col min="2807" max="2807" width="5.7109375" style="59" customWidth="1"/>
    <col min="2808" max="2808" width="26.7109375" style="59" customWidth="1"/>
    <col min="2809" max="2810" width="11.7109375" style="59" customWidth="1"/>
    <col min="2811" max="2811" width="1.7109375" style="59" customWidth="1"/>
    <col min="2812" max="2812" width="13" style="59" customWidth="1"/>
    <col min="2813" max="2813" width="11.85546875" style="59" customWidth="1"/>
    <col min="2814" max="2814" width="11.42578125" style="59" customWidth="1"/>
    <col min="2815" max="2815" width="1.7109375" style="59" customWidth="1"/>
    <col min="2816" max="2816" width="14.28515625" style="59" bestFit="1" customWidth="1"/>
    <col min="2817" max="2817" width="15.85546875" style="59" bestFit="1" customWidth="1"/>
    <col min="2818" max="2818" width="11.140625" style="59" customWidth="1"/>
    <col min="2819" max="2819" width="1.7109375" style="59" customWidth="1"/>
    <col min="2820" max="2820" width="14.140625" style="59" bestFit="1" customWidth="1"/>
    <col min="2821" max="2821" width="14.28515625" style="59" bestFit="1" customWidth="1"/>
    <col min="2822" max="2822" width="11.140625" style="59" customWidth="1"/>
    <col min="2823" max="3062" width="9.140625" style="59"/>
    <col min="3063" max="3063" width="5.7109375" style="59" customWidth="1"/>
    <col min="3064" max="3064" width="26.7109375" style="59" customWidth="1"/>
    <col min="3065" max="3066" width="11.7109375" style="59" customWidth="1"/>
    <col min="3067" max="3067" width="1.7109375" style="59" customWidth="1"/>
    <col min="3068" max="3068" width="13" style="59" customWidth="1"/>
    <col min="3069" max="3069" width="11.85546875" style="59" customWidth="1"/>
    <col min="3070" max="3070" width="11.42578125" style="59" customWidth="1"/>
    <col min="3071" max="3071" width="1.7109375" style="59" customWidth="1"/>
    <col min="3072" max="3072" width="14.28515625" style="59" bestFit="1" customWidth="1"/>
    <col min="3073" max="3073" width="15.85546875" style="59" bestFit="1" customWidth="1"/>
    <col min="3074" max="3074" width="11.140625" style="59" customWidth="1"/>
    <col min="3075" max="3075" width="1.7109375" style="59" customWidth="1"/>
    <col min="3076" max="3076" width="14.140625" style="59" bestFit="1" customWidth="1"/>
    <col min="3077" max="3077" width="14.28515625" style="59" bestFit="1" customWidth="1"/>
    <col min="3078" max="3078" width="11.140625" style="59" customWidth="1"/>
    <col min="3079" max="3318" width="9.140625" style="59"/>
    <col min="3319" max="3319" width="5.7109375" style="59" customWidth="1"/>
    <col min="3320" max="3320" width="26.7109375" style="59" customWidth="1"/>
    <col min="3321" max="3322" width="11.7109375" style="59" customWidth="1"/>
    <col min="3323" max="3323" width="1.7109375" style="59" customWidth="1"/>
    <col min="3324" max="3324" width="13" style="59" customWidth="1"/>
    <col min="3325" max="3325" width="11.85546875" style="59" customWidth="1"/>
    <col min="3326" max="3326" width="11.42578125" style="59" customWidth="1"/>
    <col min="3327" max="3327" width="1.7109375" style="59" customWidth="1"/>
    <col min="3328" max="3328" width="14.28515625" style="59" bestFit="1" customWidth="1"/>
    <col min="3329" max="3329" width="15.85546875" style="59" bestFit="1" customWidth="1"/>
    <col min="3330" max="3330" width="11.140625" style="59" customWidth="1"/>
    <col min="3331" max="3331" width="1.7109375" style="59" customWidth="1"/>
    <col min="3332" max="3332" width="14.140625" style="59" bestFit="1" customWidth="1"/>
    <col min="3333" max="3333" width="14.28515625" style="59" bestFit="1" customWidth="1"/>
    <col min="3334" max="3334" width="11.140625" style="59" customWidth="1"/>
    <col min="3335" max="3574" width="9.140625" style="59"/>
    <col min="3575" max="3575" width="5.7109375" style="59" customWidth="1"/>
    <col min="3576" max="3576" width="26.7109375" style="59" customWidth="1"/>
    <col min="3577" max="3578" width="11.7109375" style="59" customWidth="1"/>
    <col min="3579" max="3579" width="1.7109375" style="59" customWidth="1"/>
    <col min="3580" max="3580" width="13" style="59" customWidth="1"/>
    <col min="3581" max="3581" width="11.85546875" style="59" customWidth="1"/>
    <col min="3582" max="3582" width="11.42578125" style="59" customWidth="1"/>
    <col min="3583" max="3583" width="1.7109375" style="59" customWidth="1"/>
    <col min="3584" max="3584" width="14.28515625" style="59" bestFit="1" customWidth="1"/>
    <col min="3585" max="3585" width="15.85546875" style="59" bestFit="1" customWidth="1"/>
    <col min="3586" max="3586" width="11.140625" style="59" customWidth="1"/>
    <col min="3587" max="3587" width="1.7109375" style="59" customWidth="1"/>
    <col min="3588" max="3588" width="14.140625" style="59" bestFit="1" customWidth="1"/>
    <col min="3589" max="3589" width="14.28515625" style="59" bestFit="1" customWidth="1"/>
    <col min="3590" max="3590" width="11.140625" style="59" customWidth="1"/>
    <col min="3591" max="3830" width="9.140625" style="59"/>
    <col min="3831" max="3831" width="5.7109375" style="59" customWidth="1"/>
    <col min="3832" max="3832" width="26.7109375" style="59" customWidth="1"/>
    <col min="3833" max="3834" width="11.7109375" style="59" customWidth="1"/>
    <col min="3835" max="3835" width="1.7109375" style="59" customWidth="1"/>
    <col min="3836" max="3836" width="13" style="59" customWidth="1"/>
    <col min="3837" max="3837" width="11.85546875" style="59" customWidth="1"/>
    <col min="3838" max="3838" width="11.42578125" style="59" customWidth="1"/>
    <col min="3839" max="3839" width="1.7109375" style="59" customWidth="1"/>
    <col min="3840" max="3840" width="14.28515625" style="59" bestFit="1" customWidth="1"/>
    <col min="3841" max="3841" width="15.85546875" style="59" bestFit="1" customWidth="1"/>
    <col min="3842" max="3842" width="11.140625" style="59" customWidth="1"/>
    <col min="3843" max="3843" width="1.7109375" style="59" customWidth="1"/>
    <col min="3844" max="3844" width="14.140625" style="59" bestFit="1" customWidth="1"/>
    <col min="3845" max="3845" width="14.28515625" style="59" bestFit="1" customWidth="1"/>
    <col min="3846" max="3846" width="11.140625" style="59" customWidth="1"/>
    <col min="3847" max="4086" width="9.140625" style="59"/>
    <col min="4087" max="4087" width="5.7109375" style="59" customWidth="1"/>
    <col min="4088" max="4088" width="26.7109375" style="59" customWidth="1"/>
    <col min="4089" max="4090" width="11.7109375" style="59" customWidth="1"/>
    <col min="4091" max="4091" width="1.7109375" style="59" customWidth="1"/>
    <col min="4092" max="4092" width="13" style="59" customWidth="1"/>
    <col min="4093" max="4093" width="11.85546875" style="59" customWidth="1"/>
    <col min="4094" max="4094" width="11.42578125" style="59" customWidth="1"/>
    <col min="4095" max="4095" width="1.7109375" style="59" customWidth="1"/>
    <col min="4096" max="4096" width="14.28515625" style="59" bestFit="1" customWidth="1"/>
    <col min="4097" max="4097" width="15.85546875" style="59" bestFit="1" customWidth="1"/>
    <col min="4098" max="4098" width="11.140625" style="59" customWidth="1"/>
    <col min="4099" max="4099" width="1.7109375" style="59" customWidth="1"/>
    <col min="4100" max="4100" width="14.140625" style="59" bestFit="1" customWidth="1"/>
    <col min="4101" max="4101" width="14.28515625" style="59" bestFit="1" customWidth="1"/>
    <col min="4102" max="4102" width="11.140625" style="59" customWidth="1"/>
    <col min="4103" max="4342" width="9.140625" style="59"/>
    <col min="4343" max="4343" width="5.7109375" style="59" customWidth="1"/>
    <col min="4344" max="4344" width="26.7109375" style="59" customWidth="1"/>
    <col min="4345" max="4346" width="11.7109375" style="59" customWidth="1"/>
    <col min="4347" max="4347" width="1.7109375" style="59" customWidth="1"/>
    <col min="4348" max="4348" width="13" style="59" customWidth="1"/>
    <col min="4349" max="4349" width="11.85546875" style="59" customWidth="1"/>
    <col min="4350" max="4350" width="11.42578125" style="59" customWidth="1"/>
    <col min="4351" max="4351" width="1.7109375" style="59" customWidth="1"/>
    <col min="4352" max="4352" width="14.28515625" style="59" bestFit="1" customWidth="1"/>
    <col min="4353" max="4353" width="15.85546875" style="59" bestFit="1" customWidth="1"/>
    <col min="4354" max="4354" width="11.140625" style="59" customWidth="1"/>
    <col min="4355" max="4355" width="1.7109375" style="59" customWidth="1"/>
    <col min="4356" max="4356" width="14.140625" style="59" bestFit="1" customWidth="1"/>
    <col min="4357" max="4357" width="14.28515625" style="59" bestFit="1" customWidth="1"/>
    <col min="4358" max="4358" width="11.140625" style="59" customWidth="1"/>
    <col min="4359" max="4598" width="9.140625" style="59"/>
    <col min="4599" max="4599" width="5.7109375" style="59" customWidth="1"/>
    <col min="4600" max="4600" width="26.7109375" style="59" customWidth="1"/>
    <col min="4601" max="4602" width="11.7109375" style="59" customWidth="1"/>
    <col min="4603" max="4603" width="1.7109375" style="59" customWidth="1"/>
    <col min="4604" max="4604" width="13" style="59" customWidth="1"/>
    <col min="4605" max="4605" width="11.85546875" style="59" customWidth="1"/>
    <col min="4606" max="4606" width="11.42578125" style="59" customWidth="1"/>
    <col min="4607" max="4607" width="1.7109375" style="59" customWidth="1"/>
    <col min="4608" max="4608" width="14.28515625" style="59" bestFit="1" customWidth="1"/>
    <col min="4609" max="4609" width="15.85546875" style="59" bestFit="1" customWidth="1"/>
    <col min="4610" max="4610" width="11.140625" style="59" customWidth="1"/>
    <col min="4611" max="4611" width="1.7109375" style="59" customWidth="1"/>
    <col min="4612" max="4612" width="14.140625" style="59" bestFit="1" customWidth="1"/>
    <col min="4613" max="4613" width="14.28515625" style="59" bestFit="1" customWidth="1"/>
    <col min="4614" max="4614" width="11.140625" style="59" customWidth="1"/>
    <col min="4615" max="4854" width="9.140625" style="59"/>
    <col min="4855" max="4855" width="5.7109375" style="59" customWidth="1"/>
    <col min="4856" max="4856" width="26.7109375" style="59" customWidth="1"/>
    <col min="4857" max="4858" width="11.7109375" style="59" customWidth="1"/>
    <col min="4859" max="4859" width="1.7109375" style="59" customWidth="1"/>
    <col min="4860" max="4860" width="13" style="59" customWidth="1"/>
    <col min="4861" max="4861" width="11.85546875" style="59" customWidth="1"/>
    <col min="4862" max="4862" width="11.42578125" style="59" customWidth="1"/>
    <col min="4863" max="4863" width="1.7109375" style="59" customWidth="1"/>
    <col min="4864" max="4864" width="14.28515625" style="59" bestFit="1" customWidth="1"/>
    <col min="4865" max="4865" width="15.85546875" style="59" bestFit="1" customWidth="1"/>
    <col min="4866" max="4866" width="11.140625" style="59" customWidth="1"/>
    <col min="4867" max="4867" width="1.7109375" style="59" customWidth="1"/>
    <col min="4868" max="4868" width="14.140625" style="59" bestFit="1" customWidth="1"/>
    <col min="4869" max="4869" width="14.28515625" style="59" bestFit="1" customWidth="1"/>
    <col min="4870" max="4870" width="11.140625" style="59" customWidth="1"/>
    <col min="4871" max="5110" width="9.140625" style="59"/>
    <col min="5111" max="5111" width="5.7109375" style="59" customWidth="1"/>
    <col min="5112" max="5112" width="26.7109375" style="59" customWidth="1"/>
    <col min="5113" max="5114" width="11.7109375" style="59" customWidth="1"/>
    <col min="5115" max="5115" width="1.7109375" style="59" customWidth="1"/>
    <col min="5116" max="5116" width="13" style="59" customWidth="1"/>
    <col min="5117" max="5117" width="11.85546875" style="59" customWidth="1"/>
    <col min="5118" max="5118" width="11.42578125" style="59" customWidth="1"/>
    <col min="5119" max="5119" width="1.7109375" style="59" customWidth="1"/>
    <col min="5120" max="5120" width="14.28515625" style="59" bestFit="1" customWidth="1"/>
    <col min="5121" max="5121" width="15.85546875" style="59" bestFit="1" customWidth="1"/>
    <col min="5122" max="5122" width="11.140625" style="59" customWidth="1"/>
    <col min="5123" max="5123" width="1.7109375" style="59" customWidth="1"/>
    <col min="5124" max="5124" width="14.140625" style="59" bestFit="1" customWidth="1"/>
    <col min="5125" max="5125" width="14.28515625" style="59" bestFit="1" customWidth="1"/>
    <col min="5126" max="5126" width="11.140625" style="59" customWidth="1"/>
    <col min="5127" max="5366" width="9.140625" style="59"/>
    <col min="5367" max="5367" width="5.7109375" style="59" customWidth="1"/>
    <col min="5368" max="5368" width="26.7109375" style="59" customWidth="1"/>
    <col min="5369" max="5370" width="11.7109375" style="59" customWidth="1"/>
    <col min="5371" max="5371" width="1.7109375" style="59" customWidth="1"/>
    <col min="5372" max="5372" width="13" style="59" customWidth="1"/>
    <col min="5373" max="5373" width="11.85546875" style="59" customWidth="1"/>
    <col min="5374" max="5374" width="11.42578125" style="59" customWidth="1"/>
    <col min="5375" max="5375" width="1.7109375" style="59" customWidth="1"/>
    <col min="5376" max="5376" width="14.28515625" style="59" bestFit="1" customWidth="1"/>
    <col min="5377" max="5377" width="15.85546875" style="59" bestFit="1" customWidth="1"/>
    <col min="5378" max="5378" width="11.140625" style="59" customWidth="1"/>
    <col min="5379" max="5379" width="1.7109375" style="59" customWidth="1"/>
    <col min="5380" max="5380" width="14.140625" style="59" bestFit="1" customWidth="1"/>
    <col min="5381" max="5381" width="14.28515625" style="59" bestFit="1" customWidth="1"/>
    <col min="5382" max="5382" width="11.140625" style="59" customWidth="1"/>
    <col min="5383" max="5622" width="9.140625" style="59"/>
    <col min="5623" max="5623" width="5.7109375" style="59" customWidth="1"/>
    <col min="5624" max="5624" width="26.7109375" style="59" customWidth="1"/>
    <col min="5625" max="5626" width="11.7109375" style="59" customWidth="1"/>
    <col min="5627" max="5627" width="1.7109375" style="59" customWidth="1"/>
    <col min="5628" max="5628" width="13" style="59" customWidth="1"/>
    <col min="5629" max="5629" width="11.85546875" style="59" customWidth="1"/>
    <col min="5630" max="5630" width="11.42578125" style="59" customWidth="1"/>
    <col min="5631" max="5631" width="1.7109375" style="59" customWidth="1"/>
    <col min="5632" max="5632" width="14.28515625" style="59" bestFit="1" customWidth="1"/>
    <col min="5633" max="5633" width="15.85546875" style="59" bestFit="1" customWidth="1"/>
    <col min="5634" max="5634" width="11.140625" style="59" customWidth="1"/>
    <col min="5635" max="5635" width="1.7109375" style="59" customWidth="1"/>
    <col min="5636" max="5636" width="14.140625" style="59" bestFit="1" customWidth="1"/>
    <col min="5637" max="5637" width="14.28515625" style="59" bestFit="1" customWidth="1"/>
    <col min="5638" max="5638" width="11.140625" style="59" customWidth="1"/>
    <col min="5639" max="5878" width="9.140625" style="59"/>
    <col min="5879" max="5879" width="5.7109375" style="59" customWidth="1"/>
    <col min="5880" max="5880" width="26.7109375" style="59" customWidth="1"/>
    <col min="5881" max="5882" width="11.7109375" style="59" customWidth="1"/>
    <col min="5883" max="5883" width="1.7109375" style="59" customWidth="1"/>
    <col min="5884" max="5884" width="13" style="59" customWidth="1"/>
    <col min="5885" max="5885" width="11.85546875" style="59" customWidth="1"/>
    <col min="5886" max="5886" width="11.42578125" style="59" customWidth="1"/>
    <col min="5887" max="5887" width="1.7109375" style="59" customWidth="1"/>
    <col min="5888" max="5888" width="14.28515625" style="59" bestFit="1" customWidth="1"/>
    <col min="5889" max="5889" width="15.85546875" style="59" bestFit="1" customWidth="1"/>
    <col min="5890" max="5890" width="11.140625" style="59" customWidth="1"/>
    <col min="5891" max="5891" width="1.7109375" style="59" customWidth="1"/>
    <col min="5892" max="5892" width="14.140625" style="59" bestFit="1" customWidth="1"/>
    <col min="5893" max="5893" width="14.28515625" style="59" bestFit="1" customWidth="1"/>
    <col min="5894" max="5894" width="11.140625" style="59" customWidth="1"/>
    <col min="5895" max="6134" width="9.140625" style="59"/>
    <col min="6135" max="6135" width="5.7109375" style="59" customWidth="1"/>
    <col min="6136" max="6136" width="26.7109375" style="59" customWidth="1"/>
    <col min="6137" max="6138" width="11.7109375" style="59" customWidth="1"/>
    <col min="6139" max="6139" width="1.7109375" style="59" customWidth="1"/>
    <col min="6140" max="6140" width="13" style="59" customWidth="1"/>
    <col min="6141" max="6141" width="11.85546875" style="59" customWidth="1"/>
    <col min="6142" max="6142" width="11.42578125" style="59" customWidth="1"/>
    <col min="6143" max="6143" width="1.7109375" style="59" customWidth="1"/>
    <col min="6144" max="6144" width="14.28515625" style="59" bestFit="1" customWidth="1"/>
    <col min="6145" max="6145" width="15.85546875" style="59" bestFit="1" customWidth="1"/>
    <col min="6146" max="6146" width="11.140625" style="59" customWidth="1"/>
    <col min="6147" max="6147" width="1.7109375" style="59" customWidth="1"/>
    <col min="6148" max="6148" width="14.140625" style="59" bestFit="1" customWidth="1"/>
    <col min="6149" max="6149" width="14.28515625" style="59" bestFit="1" customWidth="1"/>
    <col min="6150" max="6150" width="11.140625" style="59" customWidth="1"/>
    <col min="6151" max="6390" width="9.140625" style="59"/>
    <col min="6391" max="6391" width="5.7109375" style="59" customWidth="1"/>
    <col min="6392" max="6392" width="26.7109375" style="59" customWidth="1"/>
    <col min="6393" max="6394" width="11.7109375" style="59" customWidth="1"/>
    <col min="6395" max="6395" width="1.7109375" style="59" customWidth="1"/>
    <col min="6396" max="6396" width="13" style="59" customWidth="1"/>
    <col min="6397" max="6397" width="11.85546875" style="59" customWidth="1"/>
    <col min="6398" max="6398" width="11.42578125" style="59" customWidth="1"/>
    <col min="6399" max="6399" width="1.7109375" style="59" customWidth="1"/>
    <col min="6400" max="6400" width="14.28515625" style="59" bestFit="1" customWidth="1"/>
    <col min="6401" max="6401" width="15.85546875" style="59" bestFit="1" customWidth="1"/>
    <col min="6402" max="6402" width="11.140625" style="59" customWidth="1"/>
    <col min="6403" max="6403" width="1.7109375" style="59" customWidth="1"/>
    <col min="6404" max="6404" width="14.140625" style="59" bestFit="1" customWidth="1"/>
    <col min="6405" max="6405" width="14.28515625" style="59" bestFit="1" customWidth="1"/>
    <col min="6406" max="6406" width="11.140625" style="59" customWidth="1"/>
    <col min="6407" max="6646" width="9.140625" style="59"/>
    <col min="6647" max="6647" width="5.7109375" style="59" customWidth="1"/>
    <col min="6648" max="6648" width="26.7109375" style="59" customWidth="1"/>
    <col min="6649" max="6650" width="11.7109375" style="59" customWidth="1"/>
    <col min="6651" max="6651" width="1.7109375" style="59" customWidth="1"/>
    <col min="6652" max="6652" width="13" style="59" customWidth="1"/>
    <col min="6653" max="6653" width="11.85546875" style="59" customWidth="1"/>
    <col min="6654" max="6654" width="11.42578125" style="59" customWidth="1"/>
    <col min="6655" max="6655" width="1.7109375" style="59" customWidth="1"/>
    <col min="6656" max="6656" width="14.28515625" style="59" bestFit="1" customWidth="1"/>
    <col min="6657" max="6657" width="15.85546875" style="59" bestFit="1" customWidth="1"/>
    <col min="6658" max="6658" width="11.140625" style="59" customWidth="1"/>
    <col min="6659" max="6659" width="1.7109375" style="59" customWidth="1"/>
    <col min="6660" max="6660" width="14.140625" style="59" bestFit="1" customWidth="1"/>
    <col min="6661" max="6661" width="14.28515625" style="59" bestFit="1" customWidth="1"/>
    <col min="6662" max="6662" width="11.140625" style="59" customWidth="1"/>
    <col min="6663" max="6902" width="9.140625" style="59"/>
    <col min="6903" max="6903" width="5.7109375" style="59" customWidth="1"/>
    <col min="6904" max="6904" width="26.7109375" style="59" customWidth="1"/>
    <col min="6905" max="6906" width="11.7109375" style="59" customWidth="1"/>
    <col min="6907" max="6907" width="1.7109375" style="59" customWidth="1"/>
    <col min="6908" max="6908" width="13" style="59" customWidth="1"/>
    <col min="6909" max="6909" width="11.85546875" style="59" customWidth="1"/>
    <col min="6910" max="6910" width="11.42578125" style="59" customWidth="1"/>
    <col min="6911" max="6911" width="1.7109375" style="59" customWidth="1"/>
    <col min="6912" max="6912" width="14.28515625" style="59" bestFit="1" customWidth="1"/>
    <col min="6913" max="6913" width="15.85546875" style="59" bestFit="1" customWidth="1"/>
    <col min="6914" max="6914" width="11.140625" style="59" customWidth="1"/>
    <col min="6915" max="6915" width="1.7109375" style="59" customWidth="1"/>
    <col min="6916" max="6916" width="14.140625" style="59" bestFit="1" customWidth="1"/>
    <col min="6917" max="6917" width="14.28515625" style="59" bestFit="1" customWidth="1"/>
    <col min="6918" max="6918" width="11.140625" style="59" customWidth="1"/>
    <col min="6919" max="7158" width="9.140625" style="59"/>
    <col min="7159" max="7159" width="5.7109375" style="59" customWidth="1"/>
    <col min="7160" max="7160" width="26.7109375" style="59" customWidth="1"/>
    <col min="7161" max="7162" width="11.7109375" style="59" customWidth="1"/>
    <col min="7163" max="7163" width="1.7109375" style="59" customWidth="1"/>
    <col min="7164" max="7164" width="13" style="59" customWidth="1"/>
    <col min="7165" max="7165" width="11.85546875" style="59" customWidth="1"/>
    <col min="7166" max="7166" width="11.42578125" style="59" customWidth="1"/>
    <col min="7167" max="7167" width="1.7109375" style="59" customWidth="1"/>
    <col min="7168" max="7168" width="14.28515625" style="59" bestFit="1" customWidth="1"/>
    <col min="7169" max="7169" width="15.85546875" style="59" bestFit="1" customWidth="1"/>
    <col min="7170" max="7170" width="11.140625" style="59" customWidth="1"/>
    <col min="7171" max="7171" width="1.7109375" style="59" customWidth="1"/>
    <col min="7172" max="7172" width="14.140625" style="59" bestFit="1" customWidth="1"/>
    <col min="7173" max="7173" width="14.28515625" style="59" bestFit="1" customWidth="1"/>
    <col min="7174" max="7174" width="11.140625" style="59" customWidth="1"/>
    <col min="7175" max="7414" width="9.140625" style="59"/>
    <col min="7415" max="7415" width="5.7109375" style="59" customWidth="1"/>
    <col min="7416" max="7416" width="26.7109375" style="59" customWidth="1"/>
    <col min="7417" max="7418" width="11.7109375" style="59" customWidth="1"/>
    <col min="7419" max="7419" width="1.7109375" style="59" customWidth="1"/>
    <col min="7420" max="7420" width="13" style="59" customWidth="1"/>
    <col min="7421" max="7421" width="11.85546875" style="59" customWidth="1"/>
    <col min="7422" max="7422" width="11.42578125" style="59" customWidth="1"/>
    <col min="7423" max="7423" width="1.7109375" style="59" customWidth="1"/>
    <col min="7424" max="7424" width="14.28515625" style="59" bestFit="1" customWidth="1"/>
    <col min="7425" max="7425" width="15.85546875" style="59" bestFit="1" customWidth="1"/>
    <col min="7426" max="7426" width="11.140625" style="59" customWidth="1"/>
    <col min="7427" max="7427" width="1.7109375" style="59" customWidth="1"/>
    <col min="7428" max="7428" width="14.140625" style="59" bestFit="1" customWidth="1"/>
    <col min="7429" max="7429" width="14.28515625" style="59" bestFit="1" customWidth="1"/>
    <col min="7430" max="7430" width="11.140625" style="59" customWidth="1"/>
    <col min="7431" max="7670" width="9.140625" style="59"/>
    <col min="7671" max="7671" width="5.7109375" style="59" customWidth="1"/>
    <col min="7672" max="7672" width="26.7109375" style="59" customWidth="1"/>
    <col min="7673" max="7674" width="11.7109375" style="59" customWidth="1"/>
    <col min="7675" max="7675" width="1.7109375" style="59" customWidth="1"/>
    <col min="7676" max="7676" width="13" style="59" customWidth="1"/>
    <col min="7677" max="7677" width="11.85546875" style="59" customWidth="1"/>
    <col min="7678" max="7678" width="11.42578125" style="59" customWidth="1"/>
    <col min="7679" max="7679" width="1.7109375" style="59" customWidth="1"/>
    <col min="7680" max="7680" width="14.28515625" style="59" bestFit="1" customWidth="1"/>
    <col min="7681" max="7681" width="15.85546875" style="59" bestFit="1" customWidth="1"/>
    <col min="7682" max="7682" width="11.140625" style="59" customWidth="1"/>
    <col min="7683" max="7683" width="1.7109375" style="59" customWidth="1"/>
    <col min="7684" max="7684" width="14.140625" style="59" bestFit="1" customWidth="1"/>
    <col min="7685" max="7685" width="14.28515625" style="59" bestFit="1" customWidth="1"/>
    <col min="7686" max="7686" width="11.140625" style="59" customWidth="1"/>
    <col min="7687" max="7926" width="9.140625" style="59"/>
    <col min="7927" max="7927" width="5.7109375" style="59" customWidth="1"/>
    <col min="7928" max="7928" width="26.7109375" style="59" customWidth="1"/>
    <col min="7929" max="7930" width="11.7109375" style="59" customWidth="1"/>
    <col min="7931" max="7931" width="1.7109375" style="59" customWidth="1"/>
    <col min="7932" max="7932" width="13" style="59" customWidth="1"/>
    <col min="7933" max="7933" width="11.85546875" style="59" customWidth="1"/>
    <col min="7934" max="7934" width="11.42578125" style="59" customWidth="1"/>
    <col min="7935" max="7935" width="1.7109375" style="59" customWidth="1"/>
    <col min="7936" max="7936" width="14.28515625" style="59" bestFit="1" customWidth="1"/>
    <col min="7937" max="7937" width="15.85546875" style="59" bestFit="1" customWidth="1"/>
    <col min="7938" max="7938" width="11.140625" style="59" customWidth="1"/>
    <col min="7939" max="7939" width="1.7109375" style="59" customWidth="1"/>
    <col min="7940" max="7940" width="14.140625" style="59" bestFit="1" customWidth="1"/>
    <col min="7941" max="7941" width="14.28515625" style="59" bestFit="1" customWidth="1"/>
    <col min="7942" max="7942" width="11.140625" style="59" customWidth="1"/>
    <col min="7943" max="8182" width="9.140625" style="59"/>
    <col min="8183" max="8183" width="5.7109375" style="59" customWidth="1"/>
    <col min="8184" max="8184" width="26.7109375" style="59" customWidth="1"/>
    <col min="8185" max="8186" width="11.7109375" style="59" customWidth="1"/>
    <col min="8187" max="8187" width="1.7109375" style="59" customWidth="1"/>
    <col min="8188" max="8188" width="13" style="59" customWidth="1"/>
    <col min="8189" max="8189" width="11.85546875" style="59" customWidth="1"/>
    <col min="8190" max="8190" width="11.42578125" style="59" customWidth="1"/>
    <col min="8191" max="8191" width="1.7109375" style="59" customWidth="1"/>
    <col min="8192" max="8192" width="14.28515625" style="59" bestFit="1" customWidth="1"/>
    <col min="8193" max="8193" width="15.85546875" style="59" bestFit="1" customWidth="1"/>
    <col min="8194" max="8194" width="11.140625" style="59" customWidth="1"/>
    <col min="8195" max="8195" width="1.7109375" style="59" customWidth="1"/>
    <col min="8196" max="8196" width="14.140625" style="59" bestFit="1" customWidth="1"/>
    <col min="8197" max="8197" width="14.28515625" style="59" bestFit="1" customWidth="1"/>
    <col min="8198" max="8198" width="11.140625" style="59" customWidth="1"/>
    <col min="8199" max="8438" width="9.140625" style="59"/>
    <col min="8439" max="8439" width="5.7109375" style="59" customWidth="1"/>
    <col min="8440" max="8440" width="26.7109375" style="59" customWidth="1"/>
    <col min="8441" max="8442" width="11.7109375" style="59" customWidth="1"/>
    <col min="8443" max="8443" width="1.7109375" style="59" customWidth="1"/>
    <col min="8444" max="8444" width="13" style="59" customWidth="1"/>
    <col min="8445" max="8445" width="11.85546875" style="59" customWidth="1"/>
    <col min="8446" max="8446" width="11.42578125" style="59" customWidth="1"/>
    <col min="8447" max="8447" width="1.7109375" style="59" customWidth="1"/>
    <col min="8448" max="8448" width="14.28515625" style="59" bestFit="1" customWidth="1"/>
    <col min="8449" max="8449" width="15.85546875" style="59" bestFit="1" customWidth="1"/>
    <col min="8450" max="8450" width="11.140625" style="59" customWidth="1"/>
    <col min="8451" max="8451" width="1.7109375" style="59" customWidth="1"/>
    <col min="8452" max="8452" width="14.140625" style="59" bestFit="1" customWidth="1"/>
    <col min="8453" max="8453" width="14.28515625" style="59" bestFit="1" customWidth="1"/>
    <col min="8454" max="8454" width="11.140625" style="59" customWidth="1"/>
    <col min="8455" max="8694" width="9.140625" style="59"/>
    <col min="8695" max="8695" width="5.7109375" style="59" customWidth="1"/>
    <col min="8696" max="8696" width="26.7109375" style="59" customWidth="1"/>
    <col min="8697" max="8698" width="11.7109375" style="59" customWidth="1"/>
    <col min="8699" max="8699" width="1.7109375" style="59" customWidth="1"/>
    <col min="8700" max="8700" width="13" style="59" customWidth="1"/>
    <col min="8701" max="8701" width="11.85546875" style="59" customWidth="1"/>
    <col min="8702" max="8702" width="11.42578125" style="59" customWidth="1"/>
    <col min="8703" max="8703" width="1.7109375" style="59" customWidth="1"/>
    <col min="8704" max="8704" width="14.28515625" style="59" bestFit="1" customWidth="1"/>
    <col min="8705" max="8705" width="15.85546875" style="59" bestFit="1" customWidth="1"/>
    <col min="8706" max="8706" width="11.140625" style="59" customWidth="1"/>
    <col min="8707" max="8707" width="1.7109375" style="59" customWidth="1"/>
    <col min="8708" max="8708" width="14.140625" style="59" bestFit="1" customWidth="1"/>
    <col min="8709" max="8709" width="14.28515625" style="59" bestFit="1" customWidth="1"/>
    <col min="8710" max="8710" width="11.140625" style="59" customWidth="1"/>
    <col min="8711" max="8950" width="9.140625" style="59"/>
    <col min="8951" max="8951" width="5.7109375" style="59" customWidth="1"/>
    <col min="8952" max="8952" width="26.7109375" style="59" customWidth="1"/>
    <col min="8953" max="8954" width="11.7109375" style="59" customWidth="1"/>
    <col min="8955" max="8955" width="1.7109375" style="59" customWidth="1"/>
    <col min="8956" max="8956" width="13" style="59" customWidth="1"/>
    <col min="8957" max="8957" width="11.85546875" style="59" customWidth="1"/>
    <col min="8958" max="8958" width="11.42578125" style="59" customWidth="1"/>
    <col min="8959" max="8959" width="1.7109375" style="59" customWidth="1"/>
    <col min="8960" max="8960" width="14.28515625" style="59" bestFit="1" customWidth="1"/>
    <col min="8961" max="8961" width="15.85546875" style="59" bestFit="1" customWidth="1"/>
    <col min="8962" max="8962" width="11.140625" style="59" customWidth="1"/>
    <col min="8963" max="8963" width="1.7109375" style="59" customWidth="1"/>
    <col min="8964" max="8964" width="14.140625" style="59" bestFit="1" customWidth="1"/>
    <col min="8965" max="8965" width="14.28515625" style="59" bestFit="1" customWidth="1"/>
    <col min="8966" max="8966" width="11.140625" style="59" customWidth="1"/>
    <col min="8967" max="9206" width="9.140625" style="59"/>
    <col min="9207" max="9207" width="5.7109375" style="59" customWidth="1"/>
    <col min="9208" max="9208" width="26.7109375" style="59" customWidth="1"/>
    <col min="9209" max="9210" width="11.7109375" style="59" customWidth="1"/>
    <col min="9211" max="9211" width="1.7109375" style="59" customWidth="1"/>
    <col min="9212" max="9212" width="13" style="59" customWidth="1"/>
    <col min="9213" max="9213" width="11.85546875" style="59" customWidth="1"/>
    <col min="9214" max="9214" width="11.42578125" style="59" customWidth="1"/>
    <col min="9215" max="9215" width="1.7109375" style="59" customWidth="1"/>
    <col min="9216" max="9216" width="14.28515625" style="59" bestFit="1" customWidth="1"/>
    <col min="9217" max="9217" width="15.85546875" style="59" bestFit="1" customWidth="1"/>
    <col min="9218" max="9218" width="11.140625" style="59" customWidth="1"/>
    <col min="9219" max="9219" width="1.7109375" style="59" customWidth="1"/>
    <col min="9220" max="9220" width="14.140625" style="59" bestFit="1" customWidth="1"/>
    <col min="9221" max="9221" width="14.28515625" style="59" bestFit="1" customWidth="1"/>
    <col min="9222" max="9222" width="11.140625" style="59" customWidth="1"/>
    <col min="9223" max="9462" width="9.140625" style="59"/>
    <col min="9463" max="9463" width="5.7109375" style="59" customWidth="1"/>
    <col min="9464" max="9464" width="26.7109375" style="59" customWidth="1"/>
    <col min="9465" max="9466" width="11.7109375" style="59" customWidth="1"/>
    <col min="9467" max="9467" width="1.7109375" style="59" customWidth="1"/>
    <col min="9468" max="9468" width="13" style="59" customWidth="1"/>
    <col min="9469" max="9469" width="11.85546875" style="59" customWidth="1"/>
    <col min="9470" max="9470" width="11.42578125" style="59" customWidth="1"/>
    <col min="9471" max="9471" width="1.7109375" style="59" customWidth="1"/>
    <col min="9472" max="9472" width="14.28515625" style="59" bestFit="1" customWidth="1"/>
    <col min="9473" max="9473" width="15.85546875" style="59" bestFit="1" customWidth="1"/>
    <col min="9474" max="9474" width="11.140625" style="59" customWidth="1"/>
    <col min="9475" max="9475" width="1.7109375" style="59" customWidth="1"/>
    <col min="9476" max="9476" width="14.140625" style="59" bestFit="1" customWidth="1"/>
    <col min="9477" max="9477" width="14.28515625" style="59" bestFit="1" customWidth="1"/>
    <col min="9478" max="9478" width="11.140625" style="59" customWidth="1"/>
    <col min="9479" max="9718" width="9.140625" style="59"/>
    <col min="9719" max="9719" width="5.7109375" style="59" customWidth="1"/>
    <col min="9720" max="9720" width="26.7109375" style="59" customWidth="1"/>
    <col min="9721" max="9722" width="11.7109375" style="59" customWidth="1"/>
    <col min="9723" max="9723" width="1.7109375" style="59" customWidth="1"/>
    <col min="9724" max="9724" width="13" style="59" customWidth="1"/>
    <col min="9725" max="9725" width="11.85546875" style="59" customWidth="1"/>
    <col min="9726" max="9726" width="11.42578125" style="59" customWidth="1"/>
    <col min="9727" max="9727" width="1.7109375" style="59" customWidth="1"/>
    <col min="9728" max="9728" width="14.28515625" style="59" bestFit="1" customWidth="1"/>
    <col min="9729" max="9729" width="15.85546875" style="59" bestFit="1" customWidth="1"/>
    <col min="9730" max="9730" width="11.140625" style="59" customWidth="1"/>
    <col min="9731" max="9731" width="1.7109375" style="59" customWidth="1"/>
    <col min="9732" max="9732" width="14.140625" style="59" bestFit="1" customWidth="1"/>
    <col min="9733" max="9733" width="14.28515625" style="59" bestFit="1" customWidth="1"/>
    <col min="9734" max="9734" width="11.140625" style="59" customWidth="1"/>
    <col min="9735" max="9974" width="9.140625" style="59"/>
    <col min="9975" max="9975" width="5.7109375" style="59" customWidth="1"/>
    <col min="9976" max="9976" width="26.7109375" style="59" customWidth="1"/>
    <col min="9977" max="9978" width="11.7109375" style="59" customWidth="1"/>
    <col min="9979" max="9979" width="1.7109375" style="59" customWidth="1"/>
    <col min="9980" max="9980" width="13" style="59" customWidth="1"/>
    <col min="9981" max="9981" width="11.85546875" style="59" customWidth="1"/>
    <col min="9982" max="9982" width="11.42578125" style="59" customWidth="1"/>
    <col min="9983" max="9983" width="1.7109375" style="59" customWidth="1"/>
    <col min="9984" max="9984" width="14.28515625" style="59" bestFit="1" customWidth="1"/>
    <col min="9985" max="9985" width="15.85546875" style="59" bestFit="1" customWidth="1"/>
    <col min="9986" max="9986" width="11.140625" style="59" customWidth="1"/>
    <col min="9987" max="9987" width="1.7109375" style="59" customWidth="1"/>
    <col min="9988" max="9988" width="14.140625" style="59" bestFit="1" customWidth="1"/>
    <col min="9989" max="9989" width="14.28515625" style="59" bestFit="1" customWidth="1"/>
    <col min="9990" max="9990" width="11.140625" style="59" customWidth="1"/>
    <col min="9991" max="10230" width="9.140625" style="59"/>
    <col min="10231" max="10231" width="5.7109375" style="59" customWidth="1"/>
    <col min="10232" max="10232" width="26.7109375" style="59" customWidth="1"/>
    <col min="10233" max="10234" width="11.7109375" style="59" customWidth="1"/>
    <col min="10235" max="10235" width="1.7109375" style="59" customWidth="1"/>
    <col min="10236" max="10236" width="13" style="59" customWidth="1"/>
    <col min="10237" max="10237" width="11.85546875" style="59" customWidth="1"/>
    <col min="10238" max="10238" width="11.42578125" style="59" customWidth="1"/>
    <col min="10239" max="10239" width="1.7109375" style="59" customWidth="1"/>
    <col min="10240" max="10240" width="14.28515625" style="59" bestFit="1" customWidth="1"/>
    <col min="10241" max="10241" width="15.85546875" style="59" bestFit="1" customWidth="1"/>
    <col min="10242" max="10242" width="11.140625" style="59" customWidth="1"/>
    <col min="10243" max="10243" width="1.7109375" style="59" customWidth="1"/>
    <col min="10244" max="10244" width="14.140625" style="59" bestFit="1" customWidth="1"/>
    <col min="10245" max="10245" width="14.28515625" style="59" bestFit="1" customWidth="1"/>
    <col min="10246" max="10246" width="11.140625" style="59" customWidth="1"/>
    <col min="10247" max="10486" width="9.140625" style="59"/>
    <col min="10487" max="10487" width="5.7109375" style="59" customWidth="1"/>
    <col min="10488" max="10488" width="26.7109375" style="59" customWidth="1"/>
    <col min="10489" max="10490" width="11.7109375" style="59" customWidth="1"/>
    <col min="10491" max="10491" width="1.7109375" style="59" customWidth="1"/>
    <col min="10492" max="10492" width="13" style="59" customWidth="1"/>
    <col min="10493" max="10493" width="11.85546875" style="59" customWidth="1"/>
    <col min="10494" max="10494" width="11.42578125" style="59" customWidth="1"/>
    <col min="10495" max="10495" width="1.7109375" style="59" customWidth="1"/>
    <col min="10496" max="10496" width="14.28515625" style="59" bestFit="1" customWidth="1"/>
    <col min="10497" max="10497" width="15.85546875" style="59" bestFit="1" customWidth="1"/>
    <col min="10498" max="10498" width="11.140625" style="59" customWidth="1"/>
    <col min="10499" max="10499" width="1.7109375" style="59" customWidth="1"/>
    <col min="10500" max="10500" width="14.140625" style="59" bestFit="1" customWidth="1"/>
    <col min="10501" max="10501" width="14.28515625" style="59" bestFit="1" customWidth="1"/>
    <col min="10502" max="10502" width="11.140625" style="59" customWidth="1"/>
    <col min="10503" max="10742" width="9.140625" style="59"/>
    <col min="10743" max="10743" width="5.7109375" style="59" customWidth="1"/>
    <col min="10744" max="10744" width="26.7109375" style="59" customWidth="1"/>
    <col min="10745" max="10746" width="11.7109375" style="59" customWidth="1"/>
    <col min="10747" max="10747" width="1.7109375" style="59" customWidth="1"/>
    <col min="10748" max="10748" width="13" style="59" customWidth="1"/>
    <col min="10749" max="10749" width="11.85546875" style="59" customWidth="1"/>
    <col min="10750" max="10750" width="11.42578125" style="59" customWidth="1"/>
    <col min="10751" max="10751" width="1.7109375" style="59" customWidth="1"/>
    <col min="10752" max="10752" width="14.28515625" style="59" bestFit="1" customWidth="1"/>
    <col min="10753" max="10753" width="15.85546875" style="59" bestFit="1" customWidth="1"/>
    <col min="10754" max="10754" width="11.140625" style="59" customWidth="1"/>
    <col min="10755" max="10755" width="1.7109375" style="59" customWidth="1"/>
    <col min="10756" max="10756" width="14.140625" style="59" bestFit="1" customWidth="1"/>
    <col min="10757" max="10757" width="14.28515625" style="59" bestFit="1" customWidth="1"/>
    <col min="10758" max="10758" width="11.140625" style="59" customWidth="1"/>
    <col min="10759" max="10998" width="9.140625" style="59"/>
    <col min="10999" max="10999" width="5.7109375" style="59" customWidth="1"/>
    <col min="11000" max="11000" width="26.7109375" style="59" customWidth="1"/>
    <col min="11001" max="11002" width="11.7109375" style="59" customWidth="1"/>
    <col min="11003" max="11003" width="1.7109375" style="59" customWidth="1"/>
    <col min="11004" max="11004" width="13" style="59" customWidth="1"/>
    <col min="11005" max="11005" width="11.85546875" style="59" customWidth="1"/>
    <col min="11006" max="11006" width="11.42578125" style="59" customWidth="1"/>
    <col min="11007" max="11007" width="1.7109375" style="59" customWidth="1"/>
    <col min="11008" max="11008" width="14.28515625" style="59" bestFit="1" customWidth="1"/>
    <col min="11009" max="11009" width="15.85546875" style="59" bestFit="1" customWidth="1"/>
    <col min="11010" max="11010" width="11.140625" style="59" customWidth="1"/>
    <col min="11011" max="11011" width="1.7109375" style="59" customWidth="1"/>
    <col min="11012" max="11012" width="14.140625" style="59" bestFit="1" customWidth="1"/>
    <col min="11013" max="11013" width="14.28515625" style="59" bestFit="1" customWidth="1"/>
    <col min="11014" max="11014" width="11.140625" style="59" customWidth="1"/>
    <col min="11015" max="11254" width="9.140625" style="59"/>
    <col min="11255" max="11255" width="5.7109375" style="59" customWidth="1"/>
    <col min="11256" max="11256" width="26.7109375" style="59" customWidth="1"/>
    <col min="11257" max="11258" width="11.7109375" style="59" customWidth="1"/>
    <col min="11259" max="11259" width="1.7109375" style="59" customWidth="1"/>
    <col min="11260" max="11260" width="13" style="59" customWidth="1"/>
    <col min="11261" max="11261" width="11.85546875" style="59" customWidth="1"/>
    <col min="11262" max="11262" width="11.42578125" style="59" customWidth="1"/>
    <col min="11263" max="11263" width="1.7109375" style="59" customWidth="1"/>
    <col min="11264" max="11264" width="14.28515625" style="59" bestFit="1" customWidth="1"/>
    <col min="11265" max="11265" width="15.85546875" style="59" bestFit="1" customWidth="1"/>
    <col min="11266" max="11266" width="11.140625" style="59" customWidth="1"/>
    <col min="11267" max="11267" width="1.7109375" style="59" customWidth="1"/>
    <col min="11268" max="11268" width="14.140625" style="59" bestFit="1" customWidth="1"/>
    <col min="11269" max="11269" width="14.28515625" style="59" bestFit="1" customWidth="1"/>
    <col min="11270" max="11270" width="11.140625" style="59" customWidth="1"/>
    <col min="11271" max="11510" width="9.140625" style="59"/>
    <col min="11511" max="11511" width="5.7109375" style="59" customWidth="1"/>
    <col min="11512" max="11512" width="26.7109375" style="59" customWidth="1"/>
    <col min="11513" max="11514" width="11.7109375" style="59" customWidth="1"/>
    <col min="11515" max="11515" width="1.7109375" style="59" customWidth="1"/>
    <col min="11516" max="11516" width="13" style="59" customWidth="1"/>
    <col min="11517" max="11517" width="11.85546875" style="59" customWidth="1"/>
    <col min="11518" max="11518" width="11.42578125" style="59" customWidth="1"/>
    <col min="11519" max="11519" width="1.7109375" style="59" customWidth="1"/>
    <col min="11520" max="11520" width="14.28515625" style="59" bestFit="1" customWidth="1"/>
    <col min="11521" max="11521" width="15.85546875" style="59" bestFit="1" customWidth="1"/>
    <col min="11522" max="11522" width="11.140625" style="59" customWidth="1"/>
    <col min="11523" max="11523" width="1.7109375" style="59" customWidth="1"/>
    <col min="11524" max="11524" width="14.140625" style="59" bestFit="1" customWidth="1"/>
    <col min="11525" max="11525" width="14.28515625" style="59" bestFit="1" customWidth="1"/>
    <col min="11526" max="11526" width="11.140625" style="59" customWidth="1"/>
    <col min="11527" max="11766" width="9.140625" style="59"/>
    <col min="11767" max="11767" width="5.7109375" style="59" customWidth="1"/>
    <col min="11768" max="11768" width="26.7109375" style="59" customWidth="1"/>
    <col min="11769" max="11770" width="11.7109375" style="59" customWidth="1"/>
    <col min="11771" max="11771" width="1.7109375" style="59" customWidth="1"/>
    <col min="11772" max="11772" width="13" style="59" customWidth="1"/>
    <col min="11773" max="11773" width="11.85546875" style="59" customWidth="1"/>
    <col min="11774" max="11774" width="11.42578125" style="59" customWidth="1"/>
    <col min="11775" max="11775" width="1.7109375" style="59" customWidth="1"/>
    <col min="11776" max="11776" width="14.28515625" style="59" bestFit="1" customWidth="1"/>
    <col min="11777" max="11777" width="15.85546875" style="59" bestFit="1" customWidth="1"/>
    <col min="11778" max="11778" width="11.140625" style="59" customWidth="1"/>
    <col min="11779" max="11779" width="1.7109375" style="59" customWidth="1"/>
    <col min="11780" max="11780" width="14.140625" style="59" bestFit="1" customWidth="1"/>
    <col min="11781" max="11781" width="14.28515625" style="59" bestFit="1" customWidth="1"/>
    <col min="11782" max="11782" width="11.140625" style="59" customWidth="1"/>
    <col min="11783" max="12022" width="9.140625" style="59"/>
    <col min="12023" max="12023" width="5.7109375" style="59" customWidth="1"/>
    <col min="12024" max="12024" width="26.7109375" style="59" customWidth="1"/>
    <col min="12025" max="12026" width="11.7109375" style="59" customWidth="1"/>
    <col min="12027" max="12027" width="1.7109375" style="59" customWidth="1"/>
    <col min="12028" max="12028" width="13" style="59" customWidth="1"/>
    <col min="12029" max="12029" width="11.85546875" style="59" customWidth="1"/>
    <col min="12030" max="12030" width="11.42578125" style="59" customWidth="1"/>
    <col min="12031" max="12031" width="1.7109375" style="59" customWidth="1"/>
    <col min="12032" max="12032" width="14.28515625" style="59" bestFit="1" customWidth="1"/>
    <col min="12033" max="12033" width="15.85546875" style="59" bestFit="1" customWidth="1"/>
    <col min="12034" max="12034" width="11.140625" style="59" customWidth="1"/>
    <col min="12035" max="12035" width="1.7109375" style="59" customWidth="1"/>
    <col min="12036" max="12036" width="14.140625" style="59" bestFit="1" customWidth="1"/>
    <col min="12037" max="12037" width="14.28515625" style="59" bestFit="1" customWidth="1"/>
    <col min="12038" max="12038" width="11.140625" style="59" customWidth="1"/>
    <col min="12039" max="12278" width="9.140625" style="59"/>
    <col min="12279" max="12279" width="5.7109375" style="59" customWidth="1"/>
    <col min="12280" max="12280" width="26.7109375" style="59" customWidth="1"/>
    <col min="12281" max="12282" width="11.7109375" style="59" customWidth="1"/>
    <col min="12283" max="12283" width="1.7109375" style="59" customWidth="1"/>
    <col min="12284" max="12284" width="13" style="59" customWidth="1"/>
    <col min="12285" max="12285" width="11.85546875" style="59" customWidth="1"/>
    <col min="12286" max="12286" width="11.42578125" style="59" customWidth="1"/>
    <col min="12287" max="12287" width="1.7109375" style="59" customWidth="1"/>
    <col min="12288" max="12288" width="14.28515625" style="59" bestFit="1" customWidth="1"/>
    <col min="12289" max="12289" width="15.85546875" style="59" bestFit="1" customWidth="1"/>
    <col min="12290" max="12290" width="11.140625" style="59" customWidth="1"/>
    <col min="12291" max="12291" width="1.7109375" style="59" customWidth="1"/>
    <col min="12292" max="12292" width="14.140625" style="59" bestFit="1" customWidth="1"/>
    <col min="12293" max="12293" width="14.28515625" style="59" bestFit="1" customWidth="1"/>
    <col min="12294" max="12294" width="11.140625" style="59" customWidth="1"/>
    <col min="12295" max="12534" width="9.140625" style="59"/>
    <col min="12535" max="12535" width="5.7109375" style="59" customWidth="1"/>
    <col min="12536" max="12536" width="26.7109375" style="59" customWidth="1"/>
    <col min="12537" max="12538" width="11.7109375" style="59" customWidth="1"/>
    <col min="12539" max="12539" width="1.7109375" style="59" customWidth="1"/>
    <col min="12540" max="12540" width="13" style="59" customWidth="1"/>
    <col min="12541" max="12541" width="11.85546875" style="59" customWidth="1"/>
    <col min="12542" max="12542" width="11.42578125" style="59" customWidth="1"/>
    <col min="12543" max="12543" width="1.7109375" style="59" customWidth="1"/>
    <col min="12544" max="12544" width="14.28515625" style="59" bestFit="1" customWidth="1"/>
    <col min="12545" max="12545" width="15.85546875" style="59" bestFit="1" customWidth="1"/>
    <col min="12546" max="12546" width="11.140625" style="59" customWidth="1"/>
    <col min="12547" max="12547" width="1.7109375" style="59" customWidth="1"/>
    <col min="12548" max="12548" width="14.140625" style="59" bestFit="1" customWidth="1"/>
    <col min="12549" max="12549" width="14.28515625" style="59" bestFit="1" customWidth="1"/>
    <col min="12550" max="12550" width="11.140625" style="59" customWidth="1"/>
    <col min="12551" max="12790" width="9.140625" style="59"/>
    <col min="12791" max="12791" width="5.7109375" style="59" customWidth="1"/>
    <col min="12792" max="12792" width="26.7109375" style="59" customWidth="1"/>
    <col min="12793" max="12794" width="11.7109375" style="59" customWidth="1"/>
    <col min="12795" max="12795" width="1.7109375" style="59" customWidth="1"/>
    <col min="12796" max="12796" width="13" style="59" customWidth="1"/>
    <col min="12797" max="12797" width="11.85546875" style="59" customWidth="1"/>
    <col min="12798" max="12798" width="11.42578125" style="59" customWidth="1"/>
    <col min="12799" max="12799" width="1.7109375" style="59" customWidth="1"/>
    <col min="12800" max="12800" width="14.28515625" style="59" bestFit="1" customWidth="1"/>
    <col min="12801" max="12801" width="15.85546875" style="59" bestFit="1" customWidth="1"/>
    <col min="12802" max="12802" width="11.140625" style="59" customWidth="1"/>
    <col min="12803" max="12803" width="1.7109375" style="59" customWidth="1"/>
    <col min="12804" max="12804" width="14.140625" style="59" bestFit="1" customWidth="1"/>
    <col min="12805" max="12805" width="14.28515625" style="59" bestFit="1" customWidth="1"/>
    <col min="12806" max="12806" width="11.140625" style="59" customWidth="1"/>
    <col min="12807" max="13046" width="9.140625" style="59"/>
    <col min="13047" max="13047" width="5.7109375" style="59" customWidth="1"/>
    <col min="13048" max="13048" width="26.7109375" style="59" customWidth="1"/>
    <col min="13049" max="13050" width="11.7109375" style="59" customWidth="1"/>
    <col min="13051" max="13051" width="1.7109375" style="59" customWidth="1"/>
    <col min="13052" max="13052" width="13" style="59" customWidth="1"/>
    <col min="13053" max="13053" width="11.85546875" style="59" customWidth="1"/>
    <col min="13054" max="13054" width="11.42578125" style="59" customWidth="1"/>
    <col min="13055" max="13055" width="1.7109375" style="59" customWidth="1"/>
    <col min="13056" max="13056" width="14.28515625" style="59" bestFit="1" customWidth="1"/>
    <col min="13057" max="13057" width="15.85546875" style="59" bestFit="1" customWidth="1"/>
    <col min="13058" max="13058" width="11.140625" style="59" customWidth="1"/>
    <col min="13059" max="13059" width="1.7109375" style="59" customWidth="1"/>
    <col min="13060" max="13060" width="14.140625" style="59" bestFit="1" customWidth="1"/>
    <col min="13061" max="13061" width="14.28515625" style="59" bestFit="1" customWidth="1"/>
    <col min="13062" max="13062" width="11.140625" style="59" customWidth="1"/>
    <col min="13063" max="13302" width="9.140625" style="59"/>
    <col min="13303" max="13303" width="5.7109375" style="59" customWidth="1"/>
    <col min="13304" max="13304" width="26.7109375" style="59" customWidth="1"/>
    <col min="13305" max="13306" width="11.7109375" style="59" customWidth="1"/>
    <col min="13307" max="13307" width="1.7109375" style="59" customWidth="1"/>
    <col min="13308" max="13308" width="13" style="59" customWidth="1"/>
    <col min="13309" max="13309" width="11.85546875" style="59" customWidth="1"/>
    <col min="13310" max="13310" width="11.42578125" style="59" customWidth="1"/>
    <col min="13311" max="13311" width="1.7109375" style="59" customWidth="1"/>
    <col min="13312" max="13312" width="14.28515625" style="59" bestFit="1" customWidth="1"/>
    <col min="13313" max="13313" width="15.85546875" style="59" bestFit="1" customWidth="1"/>
    <col min="13314" max="13314" width="11.140625" style="59" customWidth="1"/>
    <col min="13315" max="13315" width="1.7109375" style="59" customWidth="1"/>
    <col min="13316" max="13316" width="14.140625" style="59" bestFit="1" customWidth="1"/>
    <col min="13317" max="13317" width="14.28515625" style="59" bestFit="1" customWidth="1"/>
    <col min="13318" max="13318" width="11.140625" style="59" customWidth="1"/>
    <col min="13319" max="13558" width="9.140625" style="59"/>
    <col min="13559" max="13559" width="5.7109375" style="59" customWidth="1"/>
    <col min="13560" max="13560" width="26.7109375" style="59" customWidth="1"/>
    <col min="13561" max="13562" width="11.7109375" style="59" customWidth="1"/>
    <col min="13563" max="13563" width="1.7109375" style="59" customWidth="1"/>
    <col min="13564" max="13564" width="13" style="59" customWidth="1"/>
    <col min="13565" max="13565" width="11.85546875" style="59" customWidth="1"/>
    <col min="13566" max="13566" width="11.42578125" style="59" customWidth="1"/>
    <col min="13567" max="13567" width="1.7109375" style="59" customWidth="1"/>
    <col min="13568" max="13568" width="14.28515625" style="59" bestFit="1" customWidth="1"/>
    <col min="13569" max="13569" width="15.85546875" style="59" bestFit="1" customWidth="1"/>
    <col min="13570" max="13570" width="11.140625" style="59" customWidth="1"/>
    <col min="13571" max="13571" width="1.7109375" style="59" customWidth="1"/>
    <col min="13572" max="13572" width="14.140625" style="59" bestFit="1" customWidth="1"/>
    <col min="13573" max="13573" width="14.28515625" style="59" bestFit="1" customWidth="1"/>
    <col min="13574" max="13574" width="11.140625" style="59" customWidth="1"/>
    <col min="13575" max="13814" width="9.140625" style="59"/>
    <col min="13815" max="13815" width="5.7109375" style="59" customWidth="1"/>
    <col min="13816" max="13816" width="26.7109375" style="59" customWidth="1"/>
    <col min="13817" max="13818" width="11.7109375" style="59" customWidth="1"/>
    <col min="13819" max="13819" width="1.7109375" style="59" customWidth="1"/>
    <col min="13820" max="13820" width="13" style="59" customWidth="1"/>
    <col min="13821" max="13821" width="11.85546875" style="59" customWidth="1"/>
    <col min="13822" max="13822" width="11.42578125" style="59" customWidth="1"/>
    <col min="13823" max="13823" width="1.7109375" style="59" customWidth="1"/>
    <col min="13824" max="13824" width="14.28515625" style="59" bestFit="1" customWidth="1"/>
    <col min="13825" max="13825" width="15.85546875" style="59" bestFit="1" customWidth="1"/>
    <col min="13826" max="13826" width="11.140625" style="59" customWidth="1"/>
    <col min="13827" max="13827" width="1.7109375" style="59" customWidth="1"/>
    <col min="13828" max="13828" width="14.140625" style="59" bestFit="1" customWidth="1"/>
    <col min="13829" max="13829" width="14.28515625" style="59" bestFit="1" customWidth="1"/>
    <col min="13830" max="13830" width="11.140625" style="59" customWidth="1"/>
    <col min="13831" max="14070" width="9.140625" style="59"/>
    <col min="14071" max="14071" width="5.7109375" style="59" customWidth="1"/>
    <col min="14072" max="14072" width="26.7109375" style="59" customWidth="1"/>
    <col min="14073" max="14074" width="11.7109375" style="59" customWidth="1"/>
    <col min="14075" max="14075" width="1.7109375" style="59" customWidth="1"/>
    <col min="14076" max="14076" width="13" style="59" customWidth="1"/>
    <col min="14077" max="14077" width="11.85546875" style="59" customWidth="1"/>
    <col min="14078" max="14078" width="11.42578125" style="59" customWidth="1"/>
    <col min="14079" max="14079" width="1.7109375" style="59" customWidth="1"/>
    <col min="14080" max="14080" width="14.28515625" style="59" bestFit="1" customWidth="1"/>
    <col min="14081" max="14081" width="15.85546875" style="59" bestFit="1" customWidth="1"/>
    <col min="14082" max="14082" width="11.140625" style="59" customWidth="1"/>
    <col min="14083" max="14083" width="1.7109375" style="59" customWidth="1"/>
    <col min="14084" max="14084" width="14.140625" style="59" bestFit="1" customWidth="1"/>
    <col min="14085" max="14085" width="14.28515625" style="59" bestFit="1" customWidth="1"/>
    <col min="14086" max="14086" width="11.140625" style="59" customWidth="1"/>
    <col min="14087" max="14326" width="9.140625" style="59"/>
    <col min="14327" max="14327" width="5.7109375" style="59" customWidth="1"/>
    <col min="14328" max="14328" width="26.7109375" style="59" customWidth="1"/>
    <col min="14329" max="14330" width="11.7109375" style="59" customWidth="1"/>
    <col min="14331" max="14331" width="1.7109375" style="59" customWidth="1"/>
    <col min="14332" max="14332" width="13" style="59" customWidth="1"/>
    <col min="14333" max="14333" width="11.85546875" style="59" customWidth="1"/>
    <col min="14334" max="14334" width="11.42578125" style="59" customWidth="1"/>
    <col min="14335" max="14335" width="1.7109375" style="59" customWidth="1"/>
    <col min="14336" max="14336" width="14.28515625" style="59" bestFit="1" customWidth="1"/>
    <col min="14337" max="14337" width="15.85546875" style="59" bestFit="1" customWidth="1"/>
    <col min="14338" max="14338" width="11.140625" style="59" customWidth="1"/>
    <col min="14339" max="14339" width="1.7109375" style="59" customWidth="1"/>
    <col min="14340" max="14340" width="14.140625" style="59" bestFit="1" customWidth="1"/>
    <col min="14341" max="14341" width="14.28515625" style="59" bestFit="1" customWidth="1"/>
    <col min="14342" max="14342" width="11.140625" style="59" customWidth="1"/>
    <col min="14343" max="14582" width="9.140625" style="59"/>
    <col min="14583" max="14583" width="5.7109375" style="59" customWidth="1"/>
    <col min="14584" max="14584" width="26.7109375" style="59" customWidth="1"/>
    <col min="14585" max="14586" width="11.7109375" style="59" customWidth="1"/>
    <col min="14587" max="14587" width="1.7109375" style="59" customWidth="1"/>
    <col min="14588" max="14588" width="13" style="59" customWidth="1"/>
    <col min="14589" max="14589" width="11.85546875" style="59" customWidth="1"/>
    <col min="14590" max="14590" width="11.42578125" style="59" customWidth="1"/>
    <col min="14591" max="14591" width="1.7109375" style="59" customWidth="1"/>
    <col min="14592" max="14592" width="14.28515625" style="59" bestFit="1" customWidth="1"/>
    <col min="14593" max="14593" width="15.85546875" style="59" bestFit="1" customWidth="1"/>
    <col min="14594" max="14594" width="11.140625" style="59" customWidth="1"/>
    <col min="14595" max="14595" width="1.7109375" style="59" customWidth="1"/>
    <col min="14596" max="14596" width="14.140625" style="59" bestFit="1" customWidth="1"/>
    <col min="14597" max="14597" width="14.28515625" style="59" bestFit="1" customWidth="1"/>
    <col min="14598" max="14598" width="11.140625" style="59" customWidth="1"/>
    <col min="14599" max="14838" width="9.140625" style="59"/>
    <col min="14839" max="14839" width="5.7109375" style="59" customWidth="1"/>
    <col min="14840" max="14840" width="26.7109375" style="59" customWidth="1"/>
    <col min="14841" max="14842" width="11.7109375" style="59" customWidth="1"/>
    <col min="14843" max="14843" width="1.7109375" style="59" customWidth="1"/>
    <col min="14844" max="14844" width="13" style="59" customWidth="1"/>
    <col min="14845" max="14845" width="11.85546875" style="59" customWidth="1"/>
    <col min="14846" max="14846" width="11.42578125" style="59" customWidth="1"/>
    <col min="14847" max="14847" width="1.7109375" style="59" customWidth="1"/>
    <col min="14848" max="14848" width="14.28515625" style="59" bestFit="1" customWidth="1"/>
    <col min="14849" max="14849" width="15.85546875" style="59" bestFit="1" customWidth="1"/>
    <col min="14850" max="14850" width="11.140625" style="59" customWidth="1"/>
    <col min="14851" max="14851" width="1.7109375" style="59" customWidth="1"/>
    <col min="14852" max="14852" width="14.140625" style="59" bestFit="1" customWidth="1"/>
    <col min="14853" max="14853" width="14.28515625" style="59" bestFit="1" customWidth="1"/>
    <col min="14854" max="14854" width="11.140625" style="59" customWidth="1"/>
    <col min="14855" max="15094" width="9.140625" style="59"/>
    <col min="15095" max="15095" width="5.7109375" style="59" customWidth="1"/>
    <col min="15096" max="15096" width="26.7109375" style="59" customWidth="1"/>
    <col min="15097" max="15098" width="11.7109375" style="59" customWidth="1"/>
    <col min="15099" max="15099" width="1.7109375" style="59" customWidth="1"/>
    <col min="15100" max="15100" width="13" style="59" customWidth="1"/>
    <col min="15101" max="15101" width="11.85546875" style="59" customWidth="1"/>
    <col min="15102" max="15102" width="11.42578125" style="59" customWidth="1"/>
    <col min="15103" max="15103" width="1.7109375" style="59" customWidth="1"/>
    <col min="15104" max="15104" width="14.28515625" style="59" bestFit="1" customWidth="1"/>
    <col min="15105" max="15105" width="15.85546875" style="59" bestFit="1" customWidth="1"/>
    <col min="15106" max="15106" width="11.140625" style="59" customWidth="1"/>
    <col min="15107" max="15107" width="1.7109375" style="59" customWidth="1"/>
    <col min="15108" max="15108" width="14.140625" style="59" bestFit="1" customWidth="1"/>
    <col min="15109" max="15109" width="14.28515625" style="59" bestFit="1" customWidth="1"/>
    <col min="15110" max="15110" width="11.140625" style="59" customWidth="1"/>
    <col min="15111" max="15350" width="9.140625" style="59"/>
    <col min="15351" max="15351" width="5.7109375" style="59" customWidth="1"/>
    <col min="15352" max="15352" width="26.7109375" style="59" customWidth="1"/>
    <col min="15353" max="15354" width="11.7109375" style="59" customWidth="1"/>
    <col min="15355" max="15355" width="1.7109375" style="59" customWidth="1"/>
    <col min="15356" max="15356" width="13" style="59" customWidth="1"/>
    <col min="15357" max="15357" width="11.85546875" style="59" customWidth="1"/>
    <col min="15358" max="15358" width="11.42578125" style="59" customWidth="1"/>
    <col min="15359" max="15359" width="1.7109375" style="59" customWidth="1"/>
    <col min="15360" max="15360" width="14.28515625" style="59" bestFit="1" customWidth="1"/>
    <col min="15361" max="15361" width="15.85546875" style="59" bestFit="1" customWidth="1"/>
    <col min="15362" max="15362" width="11.140625" style="59" customWidth="1"/>
    <col min="15363" max="15363" width="1.7109375" style="59" customWidth="1"/>
    <col min="15364" max="15364" width="14.140625" style="59" bestFit="1" customWidth="1"/>
    <col min="15365" max="15365" width="14.28515625" style="59" bestFit="1" customWidth="1"/>
    <col min="15366" max="15366" width="11.140625" style="59" customWidth="1"/>
    <col min="15367" max="15606" width="9.140625" style="59"/>
    <col min="15607" max="15607" width="5.7109375" style="59" customWidth="1"/>
    <col min="15608" max="15608" width="26.7109375" style="59" customWidth="1"/>
    <col min="15609" max="15610" width="11.7109375" style="59" customWidth="1"/>
    <col min="15611" max="15611" width="1.7109375" style="59" customWidth="1"/>
    <col min="15612" max="15612" width="13" style="59" customWidth="1"/>
    <col min="15613" max="15613" width="11.85546875" style="59" customWidth="1"/>
    <col min="15614" max="15614" width="11.42578125" style="59" customWidth="1"/>
    <col min="15615" max="15615" width="1.7109375" style="59" customWidth="1"/>
    <col min="15616" max="15616" width="14.28515625" style="59" bestFit="1" customWidth="1"/>
    <col min="15617" max="15617" width="15.85546875" style="59" bestFit="1" customWidth="1"/>
    <col min="15618" max="15618" width="11.140625" style="59" customWidth="1"/>
    <col min="15619" max="15619" width="1.7109375" style="59" customWidth="1"/>
    <col min="15620" max="15620" width="14.140625" style="59" bestFit="1" customWidth="1"/>
    <col min="15621" max="15621" width="14.28515625" style="59" bestFit="1" customWidth="1"/>
    <col min="15622" max="15622" width="11.140625" style="59" customWidth="1"/>
    <col min="15623" max="15862" width="9.140625" style="59"/>
    <col min="15863" max="15863" width="5.7109375" style="59" customWidth="1"/>
    <col min="15864" max="15864" width="26.7109375" style="59" customWidth="1"/>
    <col min="15865" max="15866" width="11.7109375" style="59" customWidth="1"/>
    <col min="15867" max="15867" width="1.7109375" style="59" customWidth="1"/>
    <col min="15868" max="15868" width="13" style="59" customWidth="1"/>
    <col min="15869" max="15869" width="11.85546875" style="59" customWidth="1"/>
    <col min="15870" max="15870" width="11.42578125" style="59" customWidth="1"/>
    <col min="15871" max="15871" width="1.7109375" style="59" customWidth="1"/>
    <col min="15872" max="15872" width="14.28515625" style="59" bestFit="1" customWidth="1"/>
    <col min="15873" max="15873" width="15.85546875" style="59" bestFit="1" customWidth="1"/>
    <col min="15874" max="15874" width="11.140625" style="59" customWidth="1"/>
    <col min="15875" max="15875" width="1.7109375" style="59" customWidth="1"/>
    <col min="15876" max="15876" width="14.140625" style="59" bestFit="1" customWidth="1"/>
    <col min="15877" max="15877" width="14.28515625" style="59" bestFit="1" customWidth="1"/>
    <col min="15878" max="15878" width="11.140625" style="59" customWidth="1"/>
    <col min="15879" max="16118" width="9.140625" style="59"/>
    <col min="16119" max="16119" width="5.7109375" style="59" customWidth="1"/>
    <col min="16120" max="16120" width="26.7109375" style="59" customWidth="1"/>
    <col min="16121" max="16122" width="11.7109375" style="59" customWidth="1"/>
    <col min="16123" max="16123" width="1.7109375" style="59" customWidth="1"/>
    <col min="16124" max="16124" width="13" style="59" customWidth="1"/>
    <col min="16125" max="16125" width="11.85546875" style="59" customWidth="1"/>
    <col min="16126" max="16126" width="11.42578125" style="59" customWidth="1"/>
    <col min="16127" max="16127" width="1.7109375" style="59" customWidth="1"/>
    <col min="16128" max="16128" width="14.28515625" style="59" bestFit="1" customWidth="1"/>
    <col min="16129" max="16129" width="15.85546875" style="59" bestFit="1" customWidth="1"/>
    <col min="16130" max="16130" width="11.140625" style="59" customWidth="1"/>
    <col min="16131" max="16131" width="1.7109375" style="59" customWidth="1"/>
    <col min="16132" max="16132" width="14.140625" style="59" bestFit="1" customWidth="1"/>
    <col min="16133" max="16133" width="14.28515625" style="59" bestFit="1" customWidth="1"/>
    <col min="16134" max="16134" width="11.140625" style="59" customWidth="1"/>
    <col min="16135" max="16384" width="9.140625" style="59"/>
  </cols>
  <sheetData>
    <row r="1" spans="1:21" x14ac:dyDescent="0.25">
      <c r="B1" s="122"/>
      <c r="C1" s="180" t="s">
        <v>27</v>
      </c>
      <c r="D1" s="180"/>
      <c r="E1" s="180"/>
      <c r="F1" s="180"/>
      <c r="G1" s="180"/>
      <c r="H1" s="180"/>
      <c r="I1" s="180"/>
      <c r="J1" s="180"/>
    </row>
    <row r="2" spans="1:21" x14ac:dyDescent="0.25">
      <c r="B2" s="123"/>
      <c r="C2" s="180" t="s">
        <v>141</v>
      </c>
      <c r="D2" s="180"/>
      <c r="E2" s="180"/>
      <c r="F2" s="180"/>
      <c r="G2" s="180"/>
      <c r="H2" s="180"/>
      <c r="I2" s="180"/>
      <c r="J2" s="180"/>
    </row>
    <row r="3" spans="1:21" x14ac:dyDescent="0.25">
      <c r="B3" s="124"/>
    </row>
    <row r="4" spans="1:21" x14ac:dyDescent="0.25">
      <c r="B4" s="118" t="s">
        <v>508</v>
      </c>
      <c r="C4" s="118" t="s">
        <v>509</v>
      </c>
      <c r="D4" s="118" t="s">
        <v>510</v>
      </c>
      <c r="E4" s="118" t="s">
        <v>511</v>
      </c>
      <c r="F4" s="118" t="s">
        <v>512</v>
      </c>
      <c r="G4" s="118" t="s">
        <v>513</v>
      </c>
      <c r="H4" s="118" t="s">
        <v>514</v>
      </c>
      <c r="I4" s="118" t="s">
        <v>515</v>
      </c>
      <c r="J4" s="118" t="s">
        <v>547</v>
      </c>
      <c r="K4" s="118" t="s">
        <v>548</v>
      </c>
      <c r="L4" s="118" t="s">
        <v>549</v>
      </c>
      <c r="M4" s="118" t="s">
        <v>644</v>
      </c>
    </row>
    <row r="5" spans="1:21" x14ac:dyDescent="0.25">
      <c r="R5" s="100"/>
      <c r="S5" s="100"/>
      <c r="T5" s="100"/>
      <c r="U5" s="100"/>
    </row>
    <row r="6" spans="1:21" x14ac:dyDescent="0.25">
      <c r="A6" s="59">
        <v>1</v>
      </c>
      <c r="B6" s="56" t="s">
        <v>140</v>
      </c>
      <c r="C6" s="59" t="s">
        <v>736</v>
      </c>
      <c r="E6" s="56" t="s">
        <v>738</v>
      </c>
      <c r="F6" s="56"/>
      <c r="G6" s="56"/>
      <c r="O6" s="34" t="s">
        <v>747</v>
      </c>
      <c r="R6" s="100"/>
      <c r="S6" s="100"/>
      <c r="T6" s="100"/>
      <c r="U6" s="100"/>
    </row>
    <row r="7" spans="1:21" x14ac:dyDescent="0.25">
      <c r="A7" s="59">
        <f>+A6+1</f>
        <v>2</v>
      </c>
      <c r="B7" s="125" t="s">
        <v>236</v>
      </c>
      <c r="C7" s="126" t="s">
        <v>737</v>
      </c>
      <c r="E7" s="125" t="s">
        <v>145</v>
      </c>
      <c r="F7" s="125"/>
      <c r="G7" s="125"/>
      <c r="R7" s="100"/>
      <c r="S7" s="100"/>
      <c r="T7" s="100"/>
      <c r="U7" s="100"/>
    </row>
    <row r="8" spans="1:21" x14ac:dyDescent="0.25">
      <c r="A8" s="59">
        <f t="shared" ref="A8:A71" si="0">+A7+1</f>
        <v>3</v>
      </c>
      <c r="C8" s="127" t="s">
        <v>161</v>
      </c>
      <c r="D8" s="100"/>
      <c r="R8" s="100"/>
      <c r="S8" s="100"/>
      <c r="T8" s="100"/>
      <c r="U8" s="100"/>
    </row>
    <row r="9" spans="1:21" x14ac:dyDescent="0.25">
      <c r="A9" s="59">
        <f t="shared" si="0"/>
        <v>4</v>
      </c>
      <c r="C9" s="59" t="s">
        <v>162</v>
      </c>
      <c r="D9" s="128" t="s">
        <v>242</v>
      </c>
      <c r="E9" s="41">
        <v>2502619</v>
      </c>
      <c r="F9" s="60">
        <f>IFERROR(+E9/(SUM(E$9:E$13)),0)</f>
        <v>0.46745063890599525</v>
      </c>
      <c r="R9" s="100"/>
      <c r="S9" s="100"/>
      <c r="T9" s="100"/>
      <c r="U9" s="100"/>
    </row>
    <row r="10" spans="1:21" x14ac:dyDescent="0.25">
      <c r="A10" s="59">
        <f t="shared" si="0"/>
        <v>5</v>
      </c>
      <c r="C10" s="59" t="s">
        <v>163</v>
      </c>
      <c r="D10" s="128" t="s">
        <v>243</v>
      </c>
      <c r="E10" s="41">
        <v>1580575</v>
      </c>
      <c r="F10" s="60">
        <f>IFERROR(+E10/(SUM(E$9:E$13)),0)</f>
        <v>0.29522703759095709</v>
      </c>
      <c r="J10" s="60"/>
      <c r="R10" s="100"/>
      <c r="S10" s="100"/>
      <c r="T10" s="100"/>
      <c r="U10" s="100"/>
    </row>
    <row r="11" spans="1:21" x14ac:dyDescent="0.25">
      <c r="C11" s="59" t="s">
        <v>167</v>
      </c>
      <c r="D11" s="128" t="s">
        <v>244</v>
      </c>
      <c r="E11" s="41">
        <v>661546</v>
      </c>
      <c r="F11" s="60">
        <f>IFERROR(+E11/(SUM(E$9:E$13)),0)</f>
        <v>0.12356659178472854</v>
      </c>
      <c r="R11" s="100"/>
      <c r="S11" s="100"/>
      <c r="T11" s="100"/>
      <c r="U11" s="100"/>
    </row>
    <row r="12" spans="1:21" x14ac:dyDescent="0.25">
      <c r="A12" s="59">
        <f>+A10+1</f>
        <v>6</v>
      </c>
      <c r="C12" s="59" t="s">
        <v>164</v>
      </c>
      <c r="D12" s="128" t="s">
        <v>245</v>
      </c>
      <c r="E12" s="41">
        <v>0</v>
      </c>
      <c r="F12" s="60">
        <f>IFERROR(+E12/(SUM(E$9:E$13)),0)</f>
        <v>0</v>
      </c>
      <c r="J12" s="60"/>
      <c r="R12" s="100"/>
      <c r="S12" s="100"/>
      <c r="T12" s="100"/>
      <c r="U12" s="100"/>
    </row>
    <row r="13" spans="1:21" x14ac:dyDescent="0.25">
      <c r="A13" s="59">
        <f>+A12+1</f>
        <v>7</v>
      </c>
      <c r="C13" s="59" t="s">
        <v>165</v>
      </c>
      <c r="D13" s="128" t="s">
        <v>246</v>
      </c>
      <c r="E13" s="41">
        <v>609021</v>
      </c>
      <c r="F13" s="60">
        <f>IFERROR(+E13/(SUM(E$9:E$13)),0)</f>
        <v>0.11375573171831914</v>
      </c>
    </row>
    <row r="14" spans="1:21" x14ac:dyDescent="0.25">
      <c r="A14" s="59">
        <f t="shared" si="0"/>
        <v>8</v>
      </c>
      <c r="C14" s="59" t="s">
        <v>166</v>
      </c>
      <c r="D14" s="128" t="s">
        <v>247</v>
      </c>
      <c r="E14" s="83">
        <v>9531042</v>
      </c>
      <c r="F14" s="129"/>
    </row>
    <row r="15" spans="1:21" x14ac:dyDescent="0.25">
      <c r="A15" s="59">
        <f t="shared" si="0"/>
        <v>9</v>
      </c>
      <c r="C15" s="59" t="s">
        <v>168</v>
      </c>
      <c r="E15" s="130">
        <f>SUM(E9:E14)</f>
        <v>14884803</v>
      </c>
      <c r="F15" s="60">
        <f>SUM(F9:F13)</f>
        <v>0.99999999999999989</v>
      </c>
    </row>
    <row r="16" spans="1:21" x14ac:dyDescent="0.25">
      <c r="A16" s="59">
        <f t="shared" si="0"/>
        <v>10</v>
      </c>
      <c r="E16" s="130"/>
      <c r="F16" s="60"/>
      <c r="L16" s="56"/>
    </row>
    <row r="17" spans="1:13" x14ac:dyDescent="0.25">
      <c r="A17" s="59">
        <f>+A16+1</f>
        <v>11</v>
      </c>
      <c r="D17" s="177" t="s">
        <v>647</v>
      </c>
      <c r="E17" s="177"/>
      <c r="F17" s="177" t="s">
        <v>648</v>
      </c>
      <c r="G17" s="177"/>
      <c r="H17" s="177" t="s">
        <v>649</v>
      </c>
      <c r="I17" s="177"/>
      <c r="J17" s="177" t="s">
        <v>752</v>
      </c>
      <c r="K17" s="177"/>
      <c r="L17" s="120" t="s">
        <v>775</v>
      </c>
      <c r="M17" s="127" t="s">
        <v>233</v>
      </c>
    </row>
    <row r="18" spans="1:13" x14ac:dyDescent="0.25">
      <c r="A18" s="59">
        <f t="shared" si="0"/>
        <v>12</v>
      </c>
      <c r="D18" s="65" t="s">
        <v>26</v>
      </c>
      <c r="E18" s="65" t="s">
        <v>34</v>
      </c>
      <c r="F18" s="65" t="s">
        <v>26</v>
      </c>
      <c r="G18" s="65" t="s">
        <v>34</v>
      </c>
      <c r="H18" s="65" t="s">
        <v>26</v>
      </c>
      <c r="I18" s="65" t="s">
        <v>34</v>
      </c>
      <c r="J18" s="65" t="s">
        <v>26</v>
      </c>
      <c r="K18" s="65" t="s">
        <v>34</v>
      </c>
      <c r="L18" s="65"/>
      <c r="M18" s="21"/>
    </row>
    <row r="19" spans="1:13" x14ac:dyDescent="0.25">
      <c r="A19" s="59">
        <f t="shared" si="0"/>
        <v>13</v>
      </c>
      <c r="C19" s="131" t="s">
        <v>709</v>
      </c>
      <c r="D19" s="65"/>
      <c r="E19" s="65"/>
      <c r="F19" s="65"/>
      <c r="G19" s="65"/>
      <c r="H19" s="65"/>
      <c r="I19" s="65"/>
      <c r="J19" s="65"/>
      <c r="K19" s="65"/>
      <c r="L19" s="65"/>
      <c r="M19" s="21"/>
    </row>
    <row r="20" spans="1:13" x14ac:dyDescent="0.25">
      <c r="A20" s="59">
        <f t="shared" si="0"/>
        <v>14</v>
      </c>
      <c r="C20" s="59" t="s">
        <v>673</v>
      </c>
      <c r="D20" s="59">
        <f>$E$10*D46</f>
        <v>4148.4908136482936</v>
      </c>
      <c r="E20" s="59">
        <f t="shared" ref="E20:K20" si="1">$E$10*E46</f>
        <v>20742.45406824147</v>
      </c>
      <c r="F20" s="59">
        <f t="shared" si="1"/>
        <v>20742.45406824147</v>
      </c>
      <c r="G20" s="59">
        <f t="shared" si="1"/>
        <v>0</v>
      </c>
      <c r="H20" s="59">
        <f t="shared" si="1"/>
        <v>66375.853018372698</v>
      </c>
      <c r="I20" s="59">
        <f t="shared" si="1"/>
        <v>0</v>
      </c>
      <c r="J20" s="59">
        <f t="shared" si="1"/>
        <v>0</v>
      </c>
      <c r="K20" s="59">
        <f t="shared" si="1"/>
        <v>0</v>
      </c>
      <c r="L20" s="59">
        <f>$E$10*L46+(E9+E11+E12+E13)</f>
        <v>5241751.7480314961</v>
      </c>
      <c r="M20" s="59">
        <f>SUM(D20:L20)</f>
        <v>5353761</v>
      </c>
    </row>
    <row r="21" spans="1:13" x14ac:dyDescent="0.25">
      <c r="A21" s="59">
        <f t="shared" si="0"/>
        <v>15</v>
      </c>
      <c r="B21" s="118">
        <v>107</v>
      </c>
      <c r="C21" s="59" t="s">
        <v>672</v>
      </c>
      <c r="D21" s="60">
        <f>IFERROR(D20/$M$20,0)</f>
        <v>7.7487411441196075E-4</v>
      </c>
      <c r="E21" s="60">
        <f t="shared" ref="E21:L21" si="2">IFERROR(E20/$M$20,0)</f>
        <v>3.8743705720598043E-3</v>
      </c>
      <c r="F21" s="60">
        <f t="shared" si="2"/>
        <v>3.8743705720598043E-3</v>
      </c>
      <c r="G21" s="60">
        <f t="shared" si="2"/>
        <v>0</v>
      </c>
      <c r="H21" s="60">
        <f t="shared" si="2"/>
        <v>1.2397985830591372E-2</v>
      </c>
      <c r="I21" s="60">
        <f t="shared" si="2"/>
        <v>0</v>
      </c>
      <c r="J21" s="60">
        <f t="shared" si="2"/>
        <v>0</v>
      </c>
      <c r="K21" s="60">
        <f t="shared" si="2"/>
        <v>0</v>
      </c>
      <c r="L21" s="60">
        <f t="shared" si="2"/>
        <v>0.97907839891087711</v>
      </c>
      <c r="M21" s="60">
        <f>SUM(D21:L21)</f>
        <v>1</v>
      </c>
    </row>
    <row r="22" spans="1:13" x14ac:dyDescent="0.25">
      <c r="A22" s="59">
        <f t="shared" si="0"/>
        <v>16</v>
      </c>
      <c r="D22" s="60"/>
      <c r="E22" s="60"/>
      <c r="F22" s="60"/>
      <c r="G22" s="60"/>
      <c r="H22" s="60"/>
      <c r="I22" s="60"/>
      <c r="J22" s="60"/>
      <c r="K22" s="60"/>
      <c r="L22" s="60"/>
      <c r="M22" s="60"/>
    </row>
    <row r="23" spans="1:13" x14ac:dyDescent="0.25">
      <c r="A23" s="59">
        <f t="shared" si="0"/>
        <v>17</v>
      </c>
      <c r="C23" s="131" t="s">
        <v>706</v>
      </c>
      <c r="D23" s="60"/>
      <c r="E23" s="60"/>
      <c r="F23" s="60"/>
      <c r="G23" s="60"/>
      <c r="H23" s="60"/>
      <c r="I23" s="60"/>
      <c r="J23" s="60"/>
      <c r="K23" s="60"/>
      <c r="L23" s="60"/>
      <c r="M23" s="60"/>
    </row>
    <row r="24" spans="1:13" x14ac:dyDescent="0.25">
      <c r="A24" s="59">
        <f t="shared" si="0"/>
        <v>18</v>
      </c>
      <c r="C24" s="59" t="s">
        <v>707</v>
      </c>
      <c r="D24" s="130">
        <f ca="1">+Plant!G117</f>
        <v>5362990.8599999994</v>
      </c>
      <c r="E24" s="130">
        <f ca="1">+Plant!H117</f>
        <v>5376232.7800000003</v>
      </c>
      <c r="F24" s="130">
        <f ca="1">+Plant!I117</f>
        <v>25317056.560000002</v>
      </c>
      <c r="G24" s="130">
        <f ca="1">+Plant!J117</f>
        <v>0</v>
      </c>
      <c r="H24" s="130">
        <f ca="1">+Plant!K117</f>
        <v>67592996.019999996</v>
      </c>
      <c r="I24" s="130">
        <f ca="1">+Plant!L117</f>
        <v>0</v>
      </c>
      <c r="J24" s="130">
        <f ca="1">+Plant!M117</f>
        <v>0</v>
      </c>
      <c r="K24" s="130">
        <f ca="1">+Plant!N117</f>
        <v>0</v>
      </c>
      <c r="L24" s="130">
        <f ca="1">+Plant!O117</f>
        <v>42251022.370000005</v>
      </c>
      <c r="M24" s="132">
        <f ca="1">SUM(D24:L24)</f>
        <v>145900298.59</v>
      </c>
    </row>
    <row r="25" spans="1:13" x14ac:dyDescent="0.25">
      <c r="A25" s="59">
        <f t="shared" si="0"/>
        <v>19</v>
      </c>
      <c r="C25" s="59" t="s">
        <v>708</v>
      </c>
      <c r="D25" s="130">
        <f ca="1">+Plant!V117</f>
        <v>4196252.5457349997</v>
      </c>
      <c r="E25" s="130">
        <f>+Plant!W117</f>
        <v>1484743.7911100001</v>
      </c>
      <c r="F25" s="130">
        <f>+Plant!X117</f>
        <v>15462110.616520001</v>
      </c>
      <c r="G25" s="130">
        <f>+Plant!Y117</f>
        <v>0</v>
      </c>
      <c r="H25" s="130">
        <f>+Plant!Z117</f>
        <v>19790717.952295002</v>
      </c>
      <c r="I25" s="130">
        <f>+Plant!AA117</f>
        <v>0</v>
      </c>
      <c r="J25" s="130">
        <f>+Plant!AB117</f>
        <v>0</v>
      </c>
      <c r="K25" s="130">
        <f>+Plant!AC117</f>
        <v>0</v>
      </c>
      <c r="L25" s="130">
        <f>+Plant!AD117</f>
        <v>104966473.68434</v>
      </c>
      <c r="M25" s="132">
        <f ca="1">SUM(D25:L25)</f>
        <v>145900298.59</v>
      </c>
    </row>
    <row r="26" spans="1:13" x14ac:dyDescent="0.25">
      <c r="A26" s="59">
        <f t="shared" si="0"/>
        <v>20</v>
      </c>
      <c r="B26" s="118">
        <v>305</v>
      </c>
      <c r="C26" s="59" t="s">
        <v>711</v>
      </c>
      <c r="D26" s="60">
        <f ca="1">IFERROR(D25/D24,0)</f>
        <v>0.7824463355014929</v>
      </c>
      <c r="E26" s="60">
        <f ca="1">IFERROR(E25/E24,0)</f>
        <v>0.27616806263176724</v>
      </c>
      <c r="F26" s="60">
        <f ca="1">IFERROR(F25/F24,0)</f>
        <v>0.61073887400281568</v>
      </c>
      <c r="G26" s="60">
        <f ca="1">IFERROR(G25/G24,0)</f>
        <v>0</v>
      </c>
      <c r="H26" s="60">
        <f t="shared" ref="H26:M26" ca="1" si="3">IFERROR(H25/H24,0)</f>
        <v>0.29279243586775106</v>
      </c>
      <c r="I26" s="60">
        <f ca="1">IFERROR(I25/I24,0)</f>
        <v>0</v>
      </c>
      <c r="J26" s="60">
        <f t="shared" ca="1" si="3"/>
        <v>0</v>
      </c>
      <c r="K26" s="60">
        <f ca="1">IFERROR(K25/K24,0)</f>
        <v>0</v>
      </c>
      <c r="L26" s="60">
        <f t="shared" ca="1" si="3"/>
        <v>2.4843534616779022</v>
      </c>
      <c r="M26" s="60">
        <f t="shared" ca="1" si="3"/>
        <v>1</v>
      </c>
    </row>
    <row r="27" spans="1:13" x14ac:dyDescent="0.25">
      <c r="A27" s="59">
        <f t="shared" si="0"/>
        <v>21</v>
      </c>
      <c r="D27" s="60"/>
      <c r="E27" s="60"/>
      <c r="F27" s="60"/>
      <c r="G27" s="60"/>
      <c r="H27" s="60"/>
      <c r="I27" s="60"/>
      <c r="J27" s="60"/>
      <c r="K27" s="60"/>
      <c r="L27" s="60"/>
      <c r="M27" s="60"/>
    </row>
    <row r="28" spans="1:13" x14ac:dyDescent="0.25">
      <c r="A28" s="59">
        <f t="shared" si="0"/>
        <v>22</v>
      </c>
      <c r="C28" s="131" t="s">
        <v>728</v>
      </c>
      <c r="D28" s="60"/>
      <c r="E28" s="60"/>
      <c r="F28" s="60"/>
      <c r="G28" s="60"/>
      <c r="H28" s="60"/>
      <c r="I28" s="60"/>
      <c r="J28" s="60"/>
      <c r="K28" s="60"/>
      <c r="L28" s="60"/>
      <c r="M28" s="60"/>
    </row>
    <row r="29" spans="1:13" x14ac:dyDescent="0.25">
      <c r="A29" s="59">
        <f t="shared" si="0"/>
        <v>23</v>
      </c>
      <c r="C29" s="59" t="s">
        <v>729</v>
      </c>
      <c r="D29" s="130">
        <f>+Plant!G140</f>
        <v>5332236.6237795278</v>
      </c>
      <c r="E29" s="130">
        <f>+Plant!H140</f>
        <v>5432481.3488976378</v>
      </c>
      <c r="F29" s="130">
        <f>+Plant!I140</f>
        <v>25389805.378897637</v>
      </c>
      <c r="G29" s="130">
        <f>+Plant!J140</f>
        <v>0</v>
      </c>
      <c r="H29" s="130">
        <f>+Plant!K140</f>
        <v>67668466.200472444</v>
      </c>
      <c r="I29" s="130">
        <f>+Plant!L140</f>
        <v>0</v>
      </c>
      <c r="J29" s="130">
        <f>+Plant!M140</f>
        <v>0</v>
      </c>
      <c r="K29" s="130">
        <f>+Plant!N140</f>
        <v>0</v>
      </c>
      <c r="L29" s="130">
        <f>+Plant!O140</f>
        <v>47070183.137952745</v>
      </c>
      <c r="M29" s="132">
        <f>SUM(D29:L29)</f>
        <v>150893172.69</v>
      </c>
    </row>
    <row r="30" spans="1:13" x14ac:dyDescent="0.25">
      <c r="A30" s="59">
        <f t="shared" si="0"/>
        <v>24</v>
      </c>
      <c r="C30" s="59" t="s">
        <v>730</v>
      </c>
      <c r="D30" s="130">
        <f>+Plant!V140</f>
        <v>4174347.7445145273</v>
      </c>
      <c r="E30" s="130">
        <f>+Plant!W140</f>
        <v>1555999.3373826379</v>
      </c>
      <c r="F30" s="130">
        <f>+Plant!X140</f>
        <v>15534859.435417639</v>
      </c>
      <c r="G30" s="130">
        <f>+Plant!Y140</f>
        <v>0</v>
      </c>
      <c r="H30" s="130">
        <f>+Plant!Z140</f>
        <v>19941412.004647441</v>
      </c>
      <c r="I30" s="130">
        <f>+Plant!AA140</f>
        <v>0</v>
      </c>
      <c r="J30" s="130">
        <f>+Plant!AB140</f>
        <v>0</v>
      </c>
      <c r="K30" s="130">
        <f>+Plant!AC140</f>
        <v>0</v>
      </c>
      <c r="L30" s="130">
        <f>+Plant!AD140</f>
        <v>109686554.16803776</v>
      </c>
      <c r="M30" s="132">
        <f>SUM(D30:L30)</f>
        <v>150893172.69</v>
      </c>
    </row>
    <row r="31" spans="1:13" x14ac:dyDescent="0.25">
      <c r="A31" s="59">
        <f t="shared" si="0"/>
        <v>25</v>
      </c>
      <c r="B31" s="118">
        <v>306</v>
      </c>
      <c r="C31" s="59" t="s">
        <v>731</v>
      </c>
      <c r="D31" s="60">
        <f>IFERROR(D30/D29,0)</f>
        <v>0.78285118216597815</v>
      </c>
      <c r="E31" s="60">
        <f t="shared" ref="E31:M31" si="4">IFERROR(E30/E29,0)</f>
        <v>0.28642515960011206</v>
      </c>
      <c r="F31" s="60">
        <f t="shared" si="4"/>
        <v>0.61185421485464431</v>
      </c>
      <c r="G31" s="60">
        <f t="shared" si="4"/>
        <v>0</v>
      </c>
      <c r="H31" s="60">
        <f t="shared" si="4"/>
        <v>0.29469283293003345</v>
      </c>
      <c r="I31" s="60">
        <f t="shared" si="4"/>
        <v>0</v>
      </c>
      <c r="J31" s="60">
        <f t="shared" si="4"/>
        <v>0</v>
      </c>
      <c r="K31" s="60">
        <f t="shared" si="4"/>
        <v>0</v>
      </c>
      <c r="L31" s="60">
        <f t="shared" si="4"/>
        <v>2.3302767666437516</v>
      </c>
      <c r="M31" s="60">
        <f t="shared" si="4"/>
        <v>1</v>
      </c>
    </row>
    <row r="32" spans="1:13" x14ac:dyDescent="0.25">
      <c r="A32" s="59">
        <f t="shared" si="0"/>
        <v>26</v>
      </c>
      <c r="D32" s="60"/>
      <c r="E32" s="60"/>
      <c r="F32" s="60"/>
      <c r="G32" s="60"/>
      <c r="H32" s="60"/>
      <c r="I32" s="60"/>
      <c r="J32" s="60"/>
      <c r="K32" s="60"/>
      <c r="L32" s="60"/>
      <c r="M32" s="60"/>
    </row>
    <row r="33" spans="1:13" x14ac:dyDescent="0.25">
      <c r="A33" s="59">
        <f t="shared" si="0"/>
        <v>27</v>
      </c>
      <c r="C33" s="131" t="s">
        <v>732</v>
      </c>
      <c r="D33" s="60"/>
      <c r="E33" s="60"/>
      <c r="F33" s="60"/>
      <c r="G33" s="60"/>
      <c r="H33" s="60"/>
      <c r="I33" s="60"/>
      <c r="J33" s="60"/>
      <c r="K33" s="60"/>
      <c r="L33" s="60"/>
      <c r="M33" s="60"/>
    </row>
    <row r="34" spans="1:13" x14ac:dyDescent="0.25">
      <c r="A34" s="59">
        <f t="shared" si="0"/>
        <v>28</v>
      </c>
      <c r="C34" s="59" t="s">
        <v>759</v>
      </c>
      <c r="D34" s="130">
        <f>+Expenses!O267</f>
        <v>108432.60655293288</v>
      </c>
      <c r="E34" s="130">
        <f>+Expenses!P267</f>
        <v>216003.56478564983</v>
      </c>
      <c r="F34" s="130">
        <f>+Expenses!Q267</f>
        <v>74797.779448818881</v>
      </c>
      <c r="G34" s="130">
        <f>+Expenses!R267</f>
        <v>0</v>
      </c>
      <c r="H34" s="130">
        <f>+Expenses!S267</f>
        <v>1691563.4902362204</v>
      </c>
      <c r="I34" s="130">
        <f>+Expenses!T267</f>
        <v>0</v>
      </c>
      <c r="J34" s="130">
        <f>+Expenses!U267</f>
        <v>0</v>
      </c>
      <c r="K34" s="130">
        <f>+Expenses!V267</f>
        <v>0</v>
      </c>
      <c r="L34" s="130">
        <f>+Expenses!W267</f>
        <v>724767825.55897629</v>
      </c>
      <c r="M34" s="132">
        <f>SUM(D34:L34)</f>
        <v>726858622.99999988</v>
      </c>
    </row>
    <row r="35" spans="1:13" x14ac:dyDescent="0.25">
      <c r="A35" s="59">
        <f t="shared" si="0"/>
        <v>29</v>
      </c>
      <c r="C35" s="59" t="s">
        <v>761</v>
      </c>
      <c r="D35" s="130">
        <f ca="1">+Expenses!AE267</f>
        <v>60829.016841255601</v>
      </c>
      <c r="E35" s="130">
        <f ca="1">+Expenses!AF267</f>
        <v>42817.002991595888</v>
      </c>
      <c r="F35" s="130">
        <f ca="1">+Expenses!AG267</f>
        <v>24362.692313700099</v>
      </c>
      <c r="G35" s="130">
        <f ca="1">+Expenses!AH267</f>
        <v>0</v>
      </c>
      <c r="H35" s="130">
        <f ca="1">+Expenses!AI267</f>
        <v>307818.91047505615</v>
      </c>
      <c r="I35" s="130">
        <f ca="1">+Expenses!AJ267</f>
        <v>0</v>
      </c>
      <c r="J35" s="130">
        <f ca="1">+Expenses!AK267</f>
        <v>0</v>
      </c>
      <c r="K35" s="130">
        <f ca="1">+Expenses!AL267</f>
        <v>0</v>
      </c>
      <c r="L35" s="130">
        <f ca="1">+Expenses!AM267</f>
        <v>726422795.37737834</v>
      </c>
      <c r="M35" s="132">
        <f ca="1">SUM(D35:L35)</f>
        <v>726858623</v>
      </c>
    </row>
    <row r="36" spans="1:13" x14ac:dyDescent="0.25">
      <c r="A36" s="59">
        <f t="shared" si="0"/>
        <v>30</v>
      </c>
      <c r="B36" s="118">
        <v>307</v>
      </c>
      <c r="C36" s="59" t="s">
        <v>760</v>
      </c>
      <c r="D36" s="60">
        <f ca="1">IFERROR(D35/D34,0)</f>
        <v>0.56098454860587599</v>
      </c>
      <c r="E36" s="60">
        <f t="shared" ref="E36:M36" ca="1" si="5">IFERROR(E35/E34,0)</f>
        <v>0.19822359429153472</v>
      </c>
      <c r="F36" s="60">
        <f t="shared" ca="1" si="5"/>
        <v>0.32571411201278389</v>
      </c>
      <c r="G36" s="60">
        <f t="shared" ca="1" si="5"/>
        <v>0</v>
      </c>
      <c r="H36" s="60">
        <f t="shared" ca="1" si="5"/>
        <v>0.18197301623722703</v>
      </c>
      <c r="I36" s="60">
        <f t="shared" ca="1" si="5"/>
        <v>0</v>
      </c>
      <c r="J36" s="60">
        <f t="shared" ca="1" si="5"/>
        <v>0</v>
      </c>
      <c r="K36" s="60">
        <f t="shared" ca="1" si="5"/>
        <v>0</v>
      </c>
      <c r="L36" s="60">
        <f t="shared" ca="1" si="5"/>
        <v>1.0022834482437539</v>
      </c>
      <c r="M36" s="60">
        <f t="shared" ca="1" si="5"/>
        <v>1.0000000000000002</v>
      </c>
    </row>
    <row r="37" spans="1:13" x14ac:dyDescent="0.25">
      <c r="A37" s="59">
        <f t="shared" si="0"/>
        <v>31</v>
      </c>
      <c r="D37" s="60"/>
      <c r="E37" s="60"/>
      <c r="F37" s="60"/>
      <c r="G37" s="60"/>
      <c r="H37" s="60"/>
      <c r="I37" s="60"/>
      <c r="J37" s="60"/>
      <c r="K37" s="60"/>
      <c r="L37" s="60"/>
      <c r="M37" s="60"/>
    </row>
    <row r="38" spans="1:13" x14ac:dyDescent="0.25">
      <c r="A38" s="59">
        <f t="shared" si="0"/>
        <v>32</v>
      </c>
    </row>
    <row r="39" spans="1:13" x14ac:dyDescent="0.25">
      <c r="A39" s="59">
        <f t="shared" si="0"/>
        <v>33</v>
      </c>
      <c r="B39" s="59">
        <v>1</v>
      </c>
      <c r="C39" s="59">
        <v>2</v>
      </c>
      <c r="D39" s="59">
        <v>3</v>
      </c>
      <c r="E39" s="59">
        <v>4</v>
      </c>
      <c r="F39" s="59">
        <v>5</v>
      </c>
      <c r="G39" s="59">
        <v>6</v>
      </c>
      <c r="H39" s="59">
        <v>7</v>
      </c>
      <c r="I39" s="59">
        <v>8</v>
      </c>
      <c r="J39" s="59">
        <v>9</v>
      </c>
      <c r="K39" s="59">
        <v>10</v>
      </c>
    </row>
    <row r="40" spans="1:13" x14ac:dyDescent="0.25">
      <c r="A40" s="59">
        <f t="shared" si="0"/>
        <v>34</v>
      </c>
      <c r="L40" s="56"/>
    </row>
    <row r="41" spans="1:13" x14ac:dyDescent="0.25">
      <c r="A41" s="59">
        <f t="shared" si="0"/>
        <v>35</v>
      </c>
      <c r="D41" s="177" t="s">
        <v>647</v>
      </c>
      <c r="E41" s="177"/>
      <c r="F41" s="177" t="s">
        <v>648</v>
      </c>
      <c r="G41" s="177"/>
      <c r="H41" s="177" t="s">
        <v>649</v>
      </c>
      <c r="I41" s="177"/>
      <c r="J41" s="177" t="s">
        <v>752</v>
      </c>
      <c r="K41" s="177"/>
      <c r="L41" s="120" t="s">
        <v>775</v>
      </c>
      <c r="M41" s="58" t="s">
        <v>233</v>
      </c>
    </row>
    <row r="42" spans="1:13" x14ac:dyDescent="0.25">
      <c r="A42" s="59">
        <f t="shared" si="0"/>
        <v>36</v>
      </c>
      <c r="D42" s="65" t="s">
        <v>666</v>
      </c>
      <c r="E42" s="65" t="s">
        <v>34</v>
      </c>
      <c r="F42" s="65" t="s">
        <v>666</v>
      </c>
      <c r="G42" s="65" t="s">
        <v>34</v>
      </c>
      <c r="H42" s="65" t="s">
        <v>666</v>
      </c>
      <c r="I42" s="65" t="s">
        <v>34</v>
      </c>
      <c r="J42" s="65" t="s">
        <v>666</v>
      </c>
      <c r="K42" s="65" t="s">
        <v>34</v>
      </c>
      <c r="L42" s="65"/>
      <c r="M42" s="21"/>
    </row>
    <row r="43" spans="1:13" x14ac:dyDescent="0.25">
      <c r="A43" s="59">
        <f t="shared" si="0"/>
        <v>37</v>
      </c>
      <c r="B43" s="59">
        <v>100</v>
      </c>
      <c r="C43" s="59" t="s">
        <v>663</v>
      </c>
      <c r="D43" s="60"/>
      <c r="E43" s="60"/>
      <c r="F43" s="60"/>
      <c r="G43" s="60"/>
      <c r="H43" s="60"/>
      <c r="I43" s="60"/>
      <c r="J43" s="60"/>
      <c r="K43" s="60"/>
      <c r="L43" s="60"/>
      <c r="M43" s="60">
        <f t="shared" ref="M43:M52" si="6">SUM(D43:L43)</f>
        <v>0</v>
      </c>
    </row>
    <row r="44" spans="1:13" x14ac:dyDescent="0.25">
      <c r="A44" s="59">
        <f t="shared" si="0"/>
        <v>38</v>
      </c>
      <c r="B44" s="59">
        <v>101</v>
      </c>
      <c r="C44" s="59" t="s">
        <v>776</v>
      </c>
      <c r="D44" s="60">
        <v>0</v>
      </c>
      <c r="E44" s="60">
        <v>0</v>
      </c>
      <c r="F44" s="60">
        <v>0</v>
      </c>
      <c r="G44" s="60">
        <v>0</v>
      </c>
      <c r="H44" s="60">
        <v>0</v>
      </c>
      <c r="I44" s="60">
        <v>0</v>
      </c>
      <c r="J44" s="60">
        <v>0</v>
      </c>
      <c r="K44" s="60">
        <v>0</v>
      </c>
      <c r="L44" s="60">
        <v>1</v>
      </c>
      <c r="M44" s="60">
        <f t="shared" si="6"/>
        <v>1</v>
      </c>
    </row>
    <row r="45" spans="1:13" x14ac:dyDescent="0.25">
      <c r="A45" s="59">
        <f t="shared" si="0"/>
        <v>39</v>
      </c>
      <c r="B45" s="59">
        <v>102</v>
      </c>
      <c r="C45" s="59" t="s">
        <v>664</v>
      </c>
      <c r="D45" s="60">
        <f>+'Delivery Pts'!E32+'Delivery Pts'!F32</f>
        <v>1.5748031496062992E-2</v>
      </c>
      <c r="E45" s="60"/>
      <c r="F45" s="60">
        <f>+'Delivery Pts'!G32+'Delivery Pts'!H32</f>
        <v>1.3123359580052493E-2</v>
      </c>
      <c r="G45" s="60"/>
      <c r="H45" s="60">
        <f>+'Delivery Pts'!I32+'Delivery Pts'!J32</f>
        <v>4.1994750656167978E-2</v>
      </c>
      <c r="I45" s="60"/>
      <c r="J45" s="60">
        <f>+'Delivery Pts'!K32+'Delivery Pts'!L32</f>
        <v>0</v>
      </c>
      <c r="K45" s="60"/>
      <c r="L45" s="60">
        <f>+'Delivery Pts'!C32+'Delivery Pts'!D32</f>
        <v>0.92913385826771644</v>
      </c>
      <c r="M45" s="60">
        <f t="shared" si="6"/>
        <v>0.99999999999999989</v>
      </c>
    </row>
    <row r="46" spans="1:13" x14ac:dyDescent="0.25">
      <c r="A46" s="59">
        <f t="shared" si="0"/>
        <v>40</v>
      </c>
      <c r="B46" s="59">
        <v>103</v>
      </c>
      <c r="C46" s="59" t="s">
        <v>665</v>
      </c>
      <c r="D46" s="60">
        <f>+'Delivery Pts'!E32</f>
        <v>2.6246719160104987E-3</v>
      </c>
      <c r="E46" s="60">
        <f>'Delivery Pts'!F32</f>
        <v>1.3123359580052493E-2</v>
      </c>
      <c r="F46" s="60">
        <f>+'Delivery Pts'!G32</f>
        <v>1.3123359580052493E-2</v>
      </c>
      <c r="G46" s="60">
        <f>+'Delivery Pts'!H32</f>
        <v>0</v>
      </c>
      <c r="H46" s="60">
        <f>+'Delivery Pts'!I32</f>
        <v>4.1994750656167978E-2</v>
      </c>
      <c r="I46" s="60">
        <f>+'Delivery Pts'!J32</f>
        <v>0</v>
      </c>
      <c r="J46" s="60">
        <f>+'Delivery Pts'!K32</f>
        <v>0</v>
      </c>
      <c r="K46" s="60">
        <f>+'Delivery Pts'!L32</f>
        <v>0</v>
      </c>
      <c r="L46" s="60">
        <f>+'Delivery Pts'!C32+'Delivery Pts'!D32</f>
        <v>0.92913385826771644</v>
      </c>
      <c r="M46" s="60">
        <f t="shared" si="6"/>
        <v>0.99999999999999989</v>
      </c>
    </row>
    <row r="47" spans="1:13" x14ac:dyDescent="0.25">
      <c r="A47" s="59">
        <f t="shared" si="0"/>
        <v>41</v>
      </c>
      <c r="B47" s="59">
        <v>104</v>
      </c>
      <c r="C47" s="59" t="s">
        <v>667</v>
      </c>
      <c r="D47" s="60">
        <f>+Expenses!G273</f>
        <v>8.1514887410942495E-4</v>
      </c>
      <c r="E47" s="60"/>
      <c r="F47" s="60">
        <f>+Expenses!H273</f>
        <v>4.8313464957083685E-12</v>
      </c>
      <c r="G47" s="60"/>
      <c r="H47" s="60">
        <f>+Expenses!I273</f>
        <v>1.6592534986952451E-3</v>
      </c>
      <c r="I47" s="60"/>
      <c r="J47" s="60">
        <f>+Expenses!J273</f>
        <v>0</v>
      </c>
      <c r="K47" s="60"/>
      <c r="L47" s="60">
        <f>+Expenses!K273</f>
        <v>0.99752559762236392</v>
      </c>
      <c r="M47" s="60">
        <f t="shared" si="6"/>
        <v>0.99999999999999989</v>
      </c>
    </row>
    <row r="48" spans="1:13" x14ac:dyDescent="0.25">
      <c r="A48" s="59">
        <f t="shared" si="0"/>
        <v>42</v>
      </c>
      <c r="B48" s="59">
        <v>105</v>
      </c>
      <c r="C48" s="59" t="s">
        <v>770</v>
      </c>
      <c r="D48" s="60">
        <f>+Expenses!G276</f>
        <v>2.2850875695820706E-2</v>
      </c>
      <c r="E48" s="60"/>
      <c r="F48" s="60">
        <f>+Expenses!H276</f>
        <v>1.3543599423784622E-10</v>
      </c>
      <c r="G48" s="60"/>
      <c r="H48" s="60">
        <f>+Expenses!I276</f>
        <v>4.6513461099930216E-2</v>
      </c>
      <c r="I48" s="60"/>
      <c r="J48" s="60">
        <f>+Expenses!J276</f>
        <v>0</v>
      </c>
      <c r="K48" s="60"/>
      <c r="L48" s="60">
        <f>+Expenses!K276</f>
        <v>0.93063566306881118</v>
      </c>
      <c r="M48" s="60">
        <f t="shared" si="6"/>
        <v>0.99999999999999811</v>
      </c>
    </row>
    <row r="49" spans="1:13" x14ac:dyDescent="0.25">
      <c r="A49" s="59">
        <f t="shared" si="0"/>
        <v>43</v>
      </c>
      <c r="B49" s="59">
        <v>106</v>
      </c>
      <c r="C49" s="59" t="s">
        <v>668</v>
      </c>
      <c r="D49" s="60">
        <f>+D21+E21</f>
        <v>4.6492446864717651E-3</v>
      </c>
      <c r="E49" s="60"/>
      <c r="F49" s="60">
        <f>+F21+G21</f>
        <v>3.8743705720598043E-3</v>
      </c>
      <c r="G49" s="60"/>
      <c r="H49" s="60">
        <f>+H21+I21</f>
        <v>1.2397985830591372E-2</v>
      </c>
      <c r="I49" s="60"/>
      <c r="J49" s="60">
        <f>+J21+K21</f>
        <v>0</v>
      </c>
      <c r="K49" s="60"/>
      <c r="L49" s="60">
        <f>+L21</f>
        <v>0.97907839891087711</v>
      </c>
      <c r="M49" s="60">
        <f t="shared" si="6"/>
        <v>1</v>
      </c>
    </row>
    <row r="50" spans="1:13" x14ac:dyDescent="0.25">
      <c r="A50" s="59">
        <f t="shared" si="0"/>
        <v>44</v>
      </c>
      <c r="B50" s="59">
        <v>107</v>
      </c>
      <c r="C50" s="59" t="s">
        <v>669</v>
      </c>
      <c r="D50" s="60">
        <f t="shared" ref="D50:L50" si="7">+D21</f>
        <v>7.7487411441196075E-4</v>
      </c>
      <c r="E50" s="60">
        <f t="shared" si="7"/>
        <v>3.8743705720598043E-3</v>
      </c>
      <c r="F50" s="60">
        <f t="shared" si="7"/>
        <v>3.8743705720598043E-3</v>
      </c>
      <c r="G50" s="60">
        <f t="shared" si="7"/>
        <v>0</v>
      </c>
      <c r="H50" s="60">
        <f t="shared" si="7"/>
        <v>1.2397985830591372E-2</v>
      </c>
      <c r="I50" s="60">
        <f t="shared" si="7"/>
        <v>0</v>
      </c>
      <c r="J50" s="60">
        <f t="shared" si="7"/>
        <v>0</v>
      </c>
      <c r="K50" s="60">
        <f t="shared" si="7"/>
        <v>0</v>
      </c>
      <c r="L50" s="60">
        <f t="shared" si="7"/>
        <v>0.97907839891087711</v>
      </c>
      <c r="M50" s="60">
        <f t="shared" si="6"/>
        <v>1</v>
      </c>
    </row>
    <row r="51" spans="1:13" x14ac:dyDescent="0.25">
      <c r="A51" s="59">
        <f t="shared" si="0"/>
        <v>45</v>
      </c>
      <c r="B51" s="59">
        <v>108</v>
      </c>
      <c r="C51" s="59" t="s">
        <v>670</v>
      </c>
      <c r="D51" s="60">
        <v>0</v>
      </c>
      <c r="E51" s="60">
        <v>0</v>
      </c>
      <c r="F51" s="60">
        <v>0</v>
      </c>
      <c r="G51" s="60">
        <v>0</v>
      </c>
      <c r="H51" s="60">
        <v>0</v>
      </c>
      <c r="I51" s="60">
        <v>0</v>
      </c>
      <c r="J51" s="60">
        <v>0</v>
      </c>
      <c r="K51" s="60">
        <v>0</v>
      </c>
      <c r="L51" s="60">
        <v>1</v>
      </c>
      <c r="M51" s="60">
        <f t="shared" si="6"/>
        <v>1</v>
      </c>
    </row>
    <row r="52" spans="1:13" x14ac:dyDescent="0.25">
      <c r="A52" s="59">
        <f t="shared" si="0"/>
        <v>46</v>
      </c>
      <c r="B52" s="59">
        <v>109</v>
      </c>
      <c r="C52" s="59" t="s">
        <v>671</v>
      </c>
      <c r="D52" s="60">
        <f>+Plant!G115</f>
        <v>4.9618367854056223E-3</v>
      </c>
      <c r="E52" s="60">
        <f>+Plant!H115</f>
        <v>5.0990187978194965E-3</v>
      </c>
      <c r="F52" s="60">
        <f>+Plant!I115</f>
        <v>2.3432058347290258E-2</v>
      </c>
      <c r="G52" s="60">
        <f>+Plant!J115</f>
        <v>0</v>
      </c>
      <c r="H52" s="60">
        <f>+Plant!K115</f>
        <v>6.2643154257437564E-2</v>
      </c>
      <c r="I52" s="60">
        <f>+Plant!L115</f>
        <v>0</v>
      </c>
      <c r="J52" s="60">
        <f>+Plant!M115</f>
        <v>0</v>
      </c>
      <c r="K52" s="60">
        <f>+Plant!N115</f>
        <v>0</v>
      </c>
      <c r="L52" s="60">
        <f>+Plant!O115</f>
        <v>0.90386393137994203</v>
      </c>
      <c r="M52" s="60">
        <f t="shared" si="6"/>
        <v>0.99999999956789498</v>
      </c>
    </row>
    <row r="53" spans="1:13" x14ac:dyDescent="0.25">
      <c r="A53" s="59">
        <f t="shared" si="0"/>
        <v>47</v>
      </c>
      <c r="D53" s="71"/>
      <c r="E53" s="71"/>
      <c r="F53" s="71"/>
      <c r="G53" s="71"/>
      <c r="H53" s="71"/>
      <c r="I53" s="71"/>
      <c r="J53" s="71"/>
      <c r="K53" s="71"/>
      <c r="L53" s="71"/>
      <c r="M53" s="71"/>
    </row>
    <row r="54" spans="1:13" x14ac:dyDescent="0.25">
      <c r="A54" s="59">
        <f t="shared" si="0"/>
        <v>48</v>
      </c>
      <c r="B54" s="59">
        <v>200</v>
      </c>
      <c r="D54" s="71"/>
      <c r="E54" s="71"/>
      <c r="F54" s="71"/>
      <c r="G54" s="71"/>
      <c r="H54" s="71"/>
      <c r="I54" s="71"/>
      <c r="J54" s="71"/>
      <c r="K54" s="71"/>
      <c r="L54" s="71"/>
      <c r="M54" s="71"/>
    </row>
    <row r="55" spans="1:13" x14ac:dyDescent="0.25">
      <c r="A55" s="59">
        <f t="shared" si="0"/>
        <v>49</v>
      </c>
      <c r="B55" s="59">
        <v>201</v>
      </c>
      <c r="C55" s="59" t="s">
        <v>678</v>
      </c>
      <c r="D55" s="60">
        <f>+Plant!G122</f>
        <v>0.77719895114576754</v>
      </c>
      <c r="E55" s="60">
        <f>+Plant!H122</f>
        <v>0.22280104885423238</v>
      </c>
      <c r="F55" s="60">
        <f>+Plant!I122</f>
        <v>1</v>
      </c>
      <c r="G55" s="60">
        <f>+Plant!J122</f>
        <v>0</v>
      </c>
      <c r="H55" s="60">
        <f>+Plant!K122</f>
        <v>1</v>
      </c>
      <c r="I55" s="60">
        <f>+Plant!L122</f>
        <v>0</v>
      </c>
      <c r="J55" s="60">
        <f>+Plant!M122</f>
        <v>0</v>
      </c>
      <c r="K55" s="60">
        <f>+Plant!N122</f>
        <v>0</v>
      </c>
      <c r="L55" s="60">
        <f>+Plant!O122</f>
        <v>1</v>
      </c>
      <c r="M55" s="60"/>
    </row>
    <row r="56" spans="1:13" x14ac:dyDescent="0.25">
      <c r="A56" s="59">
        <f t="shared" si="0"/>
        <v>50</v>
      </c>
      <c r="B56" s="59">
        <v>202</v>
      </c>
      <c r="C56" s="59" t="s">
        <v>679</v>
      </c>
      <c r="D56" s="60">
        <f>+Plant!G127</f>
        <v>0.77568433770656786</v>
      </c>
      <c r="E56" s="60">
        <f>+Plant!H127</f>
        <v>0.22431566229343208</v>
      </c>
      <c r="F56" s="60">
        <f>+Plant!I127</f>
        <v>1</v>
      </c>
      <c r="G56" s="60">
        <f>+Plant!J127</f>
        <v>0</v>
      </c>
      <c r="H56" s="60">
        <f>+Plant!K127</f>
        <v>1</v>
      </c>
      <c r="I56" s="60">
        <f>+Plant!L127</f>
        <v>0</v>
      </c>
      <c r="J56" s="60">
        <f>+Plant!M127</f>
        <v>0</v>
      </c>
      <c r="K56" s="60">
        <f>+Plant!N127</f>
        <v>0</v>
      </c>
      <c r="L56" s="60">
        <f>+Plant!O127</f>
        <v>1</v>
      </c>
      <c r="M56" s="60"/>
    </row>
    <row r="57" spans="1:13" x14ac:dyDescent="0.25">
      <c r="A57" s="59">
        <f t="shared" si="0"/>
        <v>51</v>
      </c>
      <c r="B57" s="59">
        <v>203</v>
      </c>
      <c r="C57" s="59" t="s">
        <v>680</v>
      </c>
      <c r="D57" s="60">
        <f>+Plant!G135</f>
        <v>0.23014507267783124</v>
      </c>
      <c r="E57" s="60">
        <f>+Plant!H135</f>
        <v>0.76985492732216876</v>
      </c>
      <c r="F57" s="60">
        <f>+Plant!I135</f>
        <v>1</v>
      </c>
      <c r="G57" s="60">
        <f>+Plant!J135</f>
        <v>0</v>
      </c>
      <c r="H57" s="60">
        <f>+Plant!K135</f>
        <v>1</v>
      </c>
      <c r="I57" s="60">
        <f>+Plant!L135</f>
        <v>0</v>
      </c>
      <c r="J57" s="60">
        <f>+Plant!M135</f>
        <v>0</v>
      </c>
      <c r="K57" s="60">
        <f>+Plant!N135</f>
        <v>0</v>
      </c>
      <c r="L57" s="60">
        <f>+Plant!O135</f>
        <v>1</v>
      </c>
      <c r="M57" s="60"/>
    </row>
    <row r="58" spans="1:13" x14ac:dyDescent="0.25">
      <c r="A58" s="59">
        <f t="shared" si="0"/>
        <v>52</v>
      </c>
      <c r="B58" s="59">
        <v>204</v>
      </c>
      <c r="C58" s="59" t="s">
        <v>665</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25">
      <c r="A59" s="59">
        <f t="shared" si="0"/>
        <v>53</v>
      </c>
      <c r="B59" s="59">
        <v>205</v>
      </c>
      <c r="C59" s="59" t="s">
        <v>682</v>
      </c>
      <c r="D59" s="60">
        <f>+Plant!G141</f>
        <v>0.49534382947270195</v>
      </c>
      <c r="E59" s="60">
        <f>+Plant!H141</f>
        <v>0.50465617052729805</v>
      </c>
      <c r="F59" s="60">
        <f>+Plant!I141</f>
        <v>1</v>
      </c>
      <c r="G59" s="60">
        <f>+Plant!J141</f>
        <v>0</v>
      </c>
      <c r="H59" s="60">
        <f>+Plant!K141</f>
        <v>1</v>
      </c>
      <c r="I59" s="60">
        <f>+Plant!L141</f>
        <v>0</v>
      </c>
      <c r="J59" s="60">
        <f>+Plant!M141</f>
        <v>0</v>
      </c>
      <c r="K59" s="60">
        <f>+Plant!N141</f>
        <v>0</v>
      </c>
      <c r="L59" s="60">
        <f>+Plant!O141</f>
        <v>1</v>
      </c>
      <c r="M59" s="60"/>
    </row>
    <row r="60" spans="1:13" x14ac:dyDescent="0.25">
      <c r="A60" s="59">
        <f t="shared" si="0"/>
        <v>54</v>
      </c>
      <c r="B60" s="59">
        <v>206</v>
      </c>
      <c r="C60" s="59" t="s">
        <v>683</v>
      </c>
      <c r="D60" s="60">
        <v>0</v>
      </c>
      <c r="E60" s="60">
        <v>0</v>
      </c>
      <c r="F60" s="60">
        <v>0</v>
      </c>
      <c r="G60" s="60">
        <v>0</v>
      </c>
      <c r="H60" s="60">
        <v>0</v>
      </c>
      <c r="I60" s="60">
        <v>0</v>
      </c>
      <c r="J60" s="60">
        <v>0</v>
      </c>
      <c r="K60" s="60">
        <v>0</v>
      </c>
      <c r="L60" s="60">
        <v>1</v>
      </c>
      <c r="M60" s="60"/>
    </row>
    <row r="61" spans="1:13" x14ac:dyDescent="0.25">
      <c r="A61" s="59">
        <f t="shared" si="0"/>
        <v>55</v>
      </c>
      <c r="B61" s="59">
        <v>207</v>
      </c>
      <c r="D61" s="60"/>
      <c r="E61" s="60"/>
      <c r="F61" s="60"/>
      <c r="G61" s="60"/>
      <c r="H61" s="60"/>
      <c r="I61" s="60"/>
      <c r="J61" s="60"/>
      <c r="K61" s="60"/>
      <c r="L61" s="60"/>
      <c r="M61" s="60"/>
    </row>
    <row r="62" spans="1:13" x14ac:dyDescent="0.25">
      <c r="A62" s="59">
        <f t="shared" si="0"/>
        <v>56</v>
      </c>
      <c r="B62" s="59">
        <v>208</v>
      </c>
      <c r="C62" s="59" t="str">
        <f>+C46</f>
        <v>Delivery Points Region</v>
      </c>
      <c r="D62" s="60">
        <f>+D46</f>
        <v>2.6246719160104987E-3</v>
      </c>
      <c r="E62" s="60">
        <f t="shared" ref="E62:K62" si="8">+E46</f>
        <v>1.3123359580052493E-2</v>
      </c>
      <c r="F62" s="60">
        <f t="shared" si="8"/>
        <v>1.3123359580052493E-2</v>
      </c>
      <c r="G62" s="60">
        <f t="shared" si="8"/>
        <v>0</v>
      </c>
      <c r="H62" s="60">
        <f t="shared" si="8"/>
        <v>4.1994750656167978E-2</v>
      </c>
      <c r="I62" s="60">
        <f t="shared" si="8"/>
        <v>0</v>
      </c>
      <c r="J62" s="60">
        <f t="shared" si="8"/>
        <v>0</v>
      </c>
      <c r="K62" s="60">
        <f t="shared" si="8"/>
        <v>0</v>
      </c>
      <c r="L62" s="60">
        <v>1</v>
      </c>
      <c r="M62" s="60"/>
    </row>
    <row r="63" spans="1:13" x14ac:dyDescent="0.25">
      <c r="A63" s="59">
        <f t="shared" si="0"/>
        <v>57</v>
      </c>
      <c r="B63" s="59">
        <v>209</v>
      </c>
      <c r="C63" s="21" t="s">
        <v>699</v>
      </c>
      <c r="D63" s="60">
        <f>+Plant!G130</f>
        <v>0.77248353172754336</v>
      </c>
      <c r="E63" s="60">
        <f>+Plant!H130</f>
        <v>0.22751646827245661</v>
      </c>
      <c r="F63" s="60">
        <f>+Plant!I130</f>
        <v>1</v>
      </c>
      <c r="G63" s="60">
        <f>+Plant!J130</f>
        <v>0</v>
      </c>
      <c r="H63" s="60">
        <f>+Plant!K130</f>
        <v>1</v>
      </c>
      <c r="I63" s="60">
        <f>+Plant!L130</f>
        <v>0</v>
      </c>
      <c r="J63" s="60">
        <f>+Plant!M130</f>
        <v>0</v>
      </c>
      <c r="K63" s="60">
        <f>+Plant!N130</f>
        <v>0</v>
      </c>
      <c r="L63" s="60">
        <f>+Plant!O130</f>
        <v>1</v>
      </c>
      <c r="M63" s="60"/>
    </row>
    <row r="64" spans="1:13" x14ac:dyDescent="0.25">
      <c r="A64" s="59">
        <f t="shared" si="0"/>
        <v>58</v>
      </c>
      <c r="B64" s="59">
        <v>210</v>
      </c>
      <c r="C64" s="21" t="s">
        <v>700</v>
      </c>
      <c r="D64" s="60">
        <f>+Plant!G138</f>
        <v>0.23164649513952526</v>
      </c>
      <c r="E64" s="60">
        <f>+Plant!H138</f>
        <v>0.76835350486047471</v>
      </c>
      <c r="F64" s="60">
        <f>+Plant!I138</f>
        <v>1</v>
      </c>
      <c r="G64" s="60">
        <f>+Plant!J138</f>
        <v>0</v>
      </c>
      <c r="H64" s="60">
        <f>+Plant!K138</f>
        <v>1</v>
      </c>
      <c r="I64" s="60">
        <f>+Plant!L138</f>
        <v>0</v>
      </c>
      <c r="J64" s="60">
        <f>+Plant!M138</f>
        <v>0</v>
      </c>
      <c r="K64" s="60">
        <f>+Plant!N138</f>
        <v>0</v>
      </c>
      <c r="L64" s="60">
        <f>+Plant!O138</f>
        <v>1</v>
      </c>
      <c r="M64" s="60"/>
    </row>
    <row r="65" spans="1:13" x14ac:dyDescent="0.25">
      <c r="A65" s="59">
        <f t="shared" si="0"/>
        <v>59</v>
      </c>
      <c r="B65" s="59">
        <v>211</v>
      </c>
      <c r="D65" s="60"/>
      <c r="E65" s="60"/>
      <c r="F65" s="60"/>
      <c r="G65" s="60"/>
      <c r="H65" s="60"/>
      <c r="I65" s="60"/>
      <c r="J65" s="60"/>
      <c r="K65" s="60"/>
      <c r="L65" s="60"/>
      <c r="M65" s="60"/>
    </row>
    <row r="66" spans="1:13" x14ac:dyDescent="0.25">
      <c r="A66" s="59">
        <f t="shared" si="0"/>
        <v>60</v>
      </c>
      <c r="B66" s="59">
        <v>212</v>
      </c>
      <c r="D66" s="60"/>
      <c r="E66" s="60"/>
      <c r="F66" s="60"/>
      <c r="G66" s="60"/>
      <c r="H66" s="60"/>
      <c r="I66" s="60"/>
      <c r="J66" s="60"/>
      <c r="K66" s="60"/>
      <c r="L66" s="60"/>
      <c r="M66" s="60"/>
    </row>
    <row r="67" spans="1:13" x14ac:dyDescent="0.25">
      <c r="A67" s="59">
        <f t="shared" si="0"/>
        <v>61</v>
      </c>
      <c r="B67" s="59">
        <v>213</v>
      </c>
      <c r="C67" s="59" t="s">
        <v>701</v>
      </c>
      <c r="D67" s="60">
        <f>+Plant!V127</f>
        <v>0.77568433770656786</v>
      </c>
      <c r="E67" s="60">
        <f>+Plant!W127</f>
        <v>0.22431566229343208</v>
      </c>
      <c r="F67" s="60">
        <f>+Plant!X127</f>
        <v>1</v>
      </c>
      <c r="G67" s="60">
        <f>+Plant!Y127</f>
        <v>0</v>
      </c>
      <c r="H67" s="60">
        <f>+Plant!Z127</f>
        <v>1</v>
      </c>
      <c r="I67" s="60">
        <f>+Plant!AA127</f>
        <v>0</v>
      </c>
      <c r="J67" s="60">
        <f>+Plant!AB127</f>
        <v>0</v>
      </c>
      <c r="K67" s="60">
        <f>+Plant!AC127</f>
        <v>0</v>
      </c>
      <c r="L67" s="60">
        <f>+Plant!AD127</f>
        <v>1</v>
      </c>
      <c r="M67" s="60"/>
    </row>
    <row r="68" spans="1:13" x14ac:dyDescent="0.25">
      <c r="A68" s="59">
        <f t="shared" si="0"/>
        <v>62</v>
      </c>
      <c r="B68" s="59">
        <v>214</v>
      </c>
      <c r="C68" s="59" t="s">
        <v>704</v>
      </c>
      <c r="D68" s="84">
        <f>+Plant!V130</f>
        <v>0.77248353172754336</v>
      </c>
      <c r="E68" s="84">
        <f>+Plant!W130</f>
        <v>0.22751646827245661</v>
      </c>
      <c r="F68" s="84">
        <f>+Plant!X130</f>
        <v>1</v>
      </c>
      <c r="G68" s="84">
        <f>+Plant!Y130</f>
        <v>0</v>
      </c>
      <c r="H68" s="84">
        <f>+Plant!Z130</f>
        <v>1</v>
      </c>
      <c r="I68" s="84">
        <f>+Plant!AA130</f>
        <v>0</v>
      </c>
      <c r="J68" s="84">
        <f>+Plant!AB130</f>
        <v>0</v>
      </c>
      <c r="K68" s="84">
        <f>+Plant!AC130</f>
        <v>0</v>
      </c>
      <c r="L68" s="84">
        <f>+Plant!AD130</f>
        <v>1</v>
      </c>
    </row>
    <row r="69" spans="1:13" x14ac:dyDescent="0.25">
      <c r="A69" s="59">
        <f t="shared" si="0"/>
        <v>63</v>
      </c>
      <c r="B69" s="59">
        <v>215</v>
      </c>
      <c r="C69" s="2" t="s">
        <v>702</v>
      </c>
      <c r="D69" s="84">
        <f>+Plant!V135</f>
        <v>0.23164649513952526</v>
      </c>
      <c r="E69" s="84">
        <f>+Plant!W135</f>
        <v>0.76835350486047471</v>
      </c>
      <c r="F69" s="84">
        <f>+Plant!X135</f>
        <v>1</v>
      </c>
      <c r="G69" s="84">
        <f>+Plant!Y135</f>
        <v>0</v>
      </c>
      <c r="H69" s="84">
        <f>+Plant!Z135</f>
        <v>1</v>
      </c>
      <c r="I69" s="84">
        <f>+Plant!AA135</f>
        <v>0</v>
      </c>
      <c r="J69" s="84">
        <f>+Plant!AB135</f>
        <v>0</v>
      </c>
      <c r="K69" s="84">
        <f>+Plant!AC135</f>
        <v>0</v>
      </c>
      <c r="L69" s="84">
        <f>+Plant!AD135</f>
        <v>1</v>
      </c>
    </row>
    <row r="70" spans="1:13" x14ac:dyDescent="0.25">
      <c r="A70" s="59">
        <f t="shared" si="0"/>
        <v>64</v>
      </c>
      <c r="B70" s="59">
        <v>216</v>
      </c>
      <c r="C70" s="2" t="s">
        <v>703</v>
      </c>
      <c r="D70" s="84">
        <f>+Plant!V138</f>
        <v>0.23164649513952526</v>
      </c>
      <c r="E70" s="84">
        <f>+Plant!W138</f>
        <v>0.76835350486047471</v>
      </c>
      <c r="F70" s="84">
        <f>+Plant!X138</f>
        <v>1</v>
      </c>
      <c r="G70" s="84">
        <f>+Plant!Y138</f>
        <v>0</v>
      </c>
      <c r="H70" s="84">
        <f>+Plant!Z138</f>
        <v>1</v>
      </c>
      <c r="I70" s="84">
        <f>+Plant!AA138</f>
        <v>0</v>
      </c>
      <c r="J70" s="84">
        <f>+Plant!AB138</f>
        <v>0</v>
      </c>
      <c r="K70" s="84">
        <f>+Plant!AC138</f>
        <v>0</v>
      </c>
      <c r="L70" s="84">
        <f>+Plant!AD138</f>
        <v>1</v>
      </c>
    </row>
    <row r="71" spans="1:13" x14ac:dyDescent="0.25">
      <c r="A71" s="59">
        <f t="shared" si="0"/>
        <v>65</v>
      </c>
      <c r="B71" s="59">
        <v>217</v>
      </c>
      <c r="C71" s="2" t="s">
        <v>705</v>
      </c>
      <c r="D71" s="84">
        <f>+Plant!V141</f>
        <v>0.72846333474315694</v>
      </c>
      <c r="E71" s="84">
        <f>+Plant!W141</f>
        <v>0.271536665256843</v>
      </c>
      <c r="F71" s="84">
        <f>+Plant!X141</f>
        <v>1</v>
      </c>
      <c r="G71" s="84">
        <f>+Plant!Y141</f>
        <v>0</v>
      </c>
      <c r="H71" s="84">
        <f>+Plant!Z141</f>
        <v>1</v>
      </c>
      <c r="I71" s="84">
        <f>+Plant!AA141</f>
        <v>0</v>
      </c>
      <c r="J71" s="84">
        <f>+Plant!AB141</f>
        <v>0</v>
      </c>
      <c r="K71" s="84">
        <f>+Plant!AC141</f>
        <v>0</v>
      </c>
      <c r="L71" s="84">
        <f>+Plant!AD141</f>
        <v>1</v>
      </c>
    </row>
    <row r="72" spans="1:13" x14ac:dyDescent="0.25">
      <c r="A72" s="59">
        <f t="shared" ref="A72:A80" si="9">+A71+1</f>
        <v>66</v>
      </c>
      <c r="C72" s="2"/>
      <c r="D72" s="2"/>
      <c r="E72" s="65"/>
      <c r="F72" s="21"/>
      <c r="G72" s="65"/>
    </row>
    <row r="73" spans="1:13" x14ac:dyDescent="0.25">
      <c r="A73" s="59">
        <f t="shared" si="9"/>
        <v>67</v>
      </c>
      <c r="B73" s="2">
        <v>300</v>
      </c>
      <c r="C73" s="2" t="s">
        <v>685</v>
      </c>
      <c r="D73" s="60">
        <v>1</v>
      </c>
      <c r="E73" s="60">
        <v>1</v>
      </c>
      <c r="F73" s="60">
        <v>1</v>
      </c>
      <c r="G73" s="60">
        <v>1</v>
      </c>
      <c r="H73" s="60">
        <v>1</v>
      </c>
      <c r="I73" s="60">
        <v>1</v>
      </c>
      <c r="J73" s="60">
        <v>1</v>
      </c>
      <c r="K73" s="60">
        <v>1</v>
      </c>
      <c r="L73" s="60">
        <v>1</v>
      </c>
    </row>
    <row r="74" spans="1:13" x14ac:dyDescent="0.25">
      <c r="A74" s="59">
        <f t="shared" si="9"/>
        <v>68</v>
      </c>
      <c r="B74" s="2">
        <v>301</v>
      </c>
      <c r="C74" s="2" t="s">
        <v>727</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25">
      <c r="A75" s="59">
        <f t="shared" si="9"/>
        <v>69</v>
      </c>
      <c r="B75" s="2">
        <v>302</v>
      </c>
      <c r="C75" s="2" t="s">
        <v>686</v>
      </c>
      <c r="D75" s="60">
        <v>0</v>
      </c>
      <c r="E75" s="60">
        <v>0</v>
      </c>
      <c r="F75" s="60">
        <v>0</v>
      </c>
      <c r="G75" s="60">
        <v>0</v>
      </c>
      <c r="H75" s="60">
        <v>0</v>
      </c>
      <c r="I75" s="60">
        <v>0</v>
      </c>
      <c r="J75" s="60">
        <v>0</v>
      </c>
      <c r="K75" s="60">
        <v>0</v>
      </c>
      <c r="L75" s="60">
        <v>1</v>
      </c>
    </row>
    <row r="76" spans="1:13" x14ac:dyDescent="0.25">
      <c r="A76" s="59">
        <f t="shared" si="9"/>
        <v>70</v>
      </c>
      <c r="B76" s="2">
        <v>303</v>
      </c>
      <c r="C76" s="2"/>
      <c r="D76" s="60"/>
      <c r="E76" s="60"/>
      <c r="F76" s="60"/>
      <c r="G76" s="60"/>
      <c r="H76" s="60"/>
      <c r="I76" s="60"/>
      <c r="J76" s="60"/>
      <c r="K76" s="60"/>
      <c r="L76" s="60"/>
    </row>
    <row r="77" spans="1:13" x14ac:dyDescent="0.25">
      <c r="A77" s="59">
        <f t="shared" si="9"/>
        <v>71</v>
      </c>
      <c r="B77" s="2">
        <v>304</v>
      </c>
      <c r="C77" s="2" t="s">
        <v>698</v>
      </c>
      <c r="D77" s="60">
        <v>0</v>
      </c>
      <c r="E77" s="60">
        <v>0</v>
      </c>
      <c r="F77" s="60">
        <v>0</v>
      </c>
      <c r="G77" s="60">
        <v>0</v>
      </c>
      <c r="H77" s="60">
        <v>0</v>
      </c>
      <c r="I77" s="60">
        <v>0</v>
      </c>
      <c r="J77" s="60">
        <v>0</v>
      </c>
      <c r="K77" s="60">
        <v>0</v>
      </c>
      <c r="L77" s="60">
        <v>0</v>
      </c>
    </row>
    <row r="78" spans="1:13" x14ac:dyDescent="0.25">
      <c r="A78" s="59">
        <f t="shared" si="9"/>
        <v>72</v>
      </c>
      <c r="B78" s="2">
        <v>305</v>
      </c>
      <c r="C78" s="59" t="s">
        <v>711</v>
      </c>
      <c r="D78" s="60">
        <f t="shared" ref="D78:L78" ca="1" si="10">+D26</f>
        <v>0.7824463355014929</v>
      </c>
      <c r="E78" s="60">
        <f t="shared" ca="1" si="10"/>
        <v>0.27616806263176724</v>
      </c>
      <c r="F78" s="60">
        <f t="shared" ca="1" si="10"/>
        <v>0.61073887400281568</v>
      </c>
      <c r="G78" s="60">
        <f t="shared" ca="1" si="10"/>
        <v>0</v>
      </c>
      <c r="H78" s="60">
        <f t="shared" ca="1" si="10"/>
        <v>0.29279243586775106</v>
      </c>
      <c r="I78" s="60">
        <f t="shared" ca="1" si="10"/>
        <v>0</v>
      </c>
      <c r="J78" s="60">
        <f t="shared" ca="1" si="10"/>
        <v>0</v>
      </c>
      <c r="K78" s="60">
        <f t="shared" ca="1" si="10"/>
        <v>0</v>
      </c>
      <c r="L78" s="60">
        <f t="shared" ca="1" si="10"/>
        <v>2.4843534616779022</v>
      </c>
    </row>
    <row r="79" spans="1:13" x14ac:dyDescent="0.25">
      <c r="A79" s="59">
        <f t="shared" si="9"/>
        <v>73</v>
      </c>
      <c r="B79" s="2">
        <v>306</v>
      </c>
      <c r="C79" s="59" t="s">
        <v>733</v>
      </c>
      <c r="D79" s="60">
        <f t="shared" ref="D79:L79" si="11">+D31</f>
        <v>0.78285118216597815</v>
      </c>
      <c r="E79" s="60">
        <f t="shared" si="11"/>
        <v>0.28642515960011206</v>
      </c>
      <c r="F79" s="60">
        <f t="shared" si="11"/>
        <v>0.61185421485464431</v>
      </c>
      <c r="G79" s="60">
        <f t="shared" si="11"/>
        <v>0</v>
      </c>
      <c r="H79" s="60">
        <f t="shared" si="11"/>
        <v>0.29469283293003345</v>
      </c>
      <c r="I79" s="60">
        <f t="shared" si="11"/>
        <v>0</v>
      </c>
      <c r="J79" s="60">
        <f t="shared" si="11"/>
        <v>0</v>
      </c>
      <c r="K79" s="60">
        <f t="shared" si="11"/>
        <v>0</v>
      </c>
      <c r="L79" s="60">
        <f t="shared" si="11"/>
        <v>2.3302767666437516</v>
      </c>
    </row>
    <row r="80" spans="1:13" x14ac:dyDescent="0.25">
      <c r="A80" s="59">
        <f t="shared" si="9"/>
        <v>74</v>
      </c>
      <c r="B80" s="2">
        <v>307</v>
      </c>
      <c r="C80" s="59" t="s">
        <v>771</v>
      </c>
      <c r="D80" s="60">
        <f ca="1">+D36</f>
        <v>0.56098454860587599</v>
      </c>
      <c r="E80" s="60">
        <f t="shared" ref="E80:L80" ca="1" si="12">+E36</f>
        <v>0.19822359429153472</v>
      </c>
      <c r="F80" s="60">
        <f t="shared" ca="1" si="12"/>
        <v>0.32571411201278389</v>
      </c>
      <c r="G80" s="60">
        <f t="shared" ca="1" si="12"/>
        <v>0</v>
      </c>
      <c r="H80" s="60">
        <f t="shared" ca="1" si="12"/>
        <v>0.18197301623722703</v>
      </c>
      <c r="I80" s="60">
        <f t="shared" ca="1" si="12"/>
        <v>0</v>
      </c>
      <c r="J80" s="60">
        <f t="shared" ca="1" si="12"/>
        <v>0</v>
      </c>
      <c r="K80" s="60">
        <f t="shared" ca="1" si="12"/>
        <v>0</v>
      </c>
      <c r="L80" s="60">
        <f t="shared" ca="1" si="12"/>
        <v>1.0022834482437539</v>
      </c>
    </row>
    <row r="82" spans="1:1" x14ac:dyDescent="0.25">
      <c r="A82" s="21" t="s">
        <v>849</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G19" sqref="G19"/>
    </sheetView>
  </sheetViews>
  <sheetFormatPr defaultColWidth="9.140625" defaultRowHeight="15" x14ac:dyDescent="0.25"/>
  <cols>
    <col min="1" max="1" width="5.85546875" style="21" customWidth="1"/>
    <col min="2" max="2" width="21.85546875" style="21" customWidth="1"/>
    <col min="3" max="3" width="2.7109375" style="21" customWidth="1"/>
    <col min="4" max="16" width="13.28515625" style="21" customWidth="1"/>
    <col min="17" max="17" width="9.140625" style="21"/>
    <col min="18" max="18" width="11.28515625" style="21" bestFit="1" customWidth="1"/>
    <col min="19" max="19" width="9.140625" style="21"/>
    <col min="20" max="20" width="10.28515625" style="21" bestFit="1" customWidth="1"/>
    <col min="21" max="16384" width="9.140625" style="21"/>
  </cols>
  <sheetData>
    <row r="1" spans="1:20" x14ac:dyDescent="0.25">
      <c r="B1" s="175" t="s">
        <v>27</v>
      </c>
      <c r="C1" s="175"/>
      <c r="D1" s="175"/>
      <c r="E1" s="175"/>
      <c r="F1" s="175"/>
      <c r="G1" s="175"/>
      <c r="H1" s="175"/>
      <c r="I1" s="175"/>
      <c r="J1" s="175"/>
      <c r="K1" s="175"/>
      <c r="L1" s="175"/>
      <c r="M1" s="175"/>
      <c r="N1" s="175"/>
      <c r="O1" s="175"/>
      <c r="P1" s="175"/>
    </row>
    <row r="2" spans="1:20" x14ac:dyDescent="0.25">
      <c r="B2" s="175" t="s">
        <v>863</v>
      </c>
      <c r="C2" s="175"/>
      <c r="D2" s="175"/>
      <c r="E2" s="175"/>
      <c r="F2" s="175"/>
      <c r="G2" s="175"/>
      <c r="H2" s="175"/>
      <c r="I2" s="175"/>
      <c r="J2" s="175"/>
      <c r="K2" s="175"/>
      <c r="L2" s="175"/>
      <c r="M2" s="175"/>
      <c r="N2" s="175"/>
      <c r="O2" s="175"/>
      <c r="P2" s="175"/>
    </row>
    <row r="4" spans="1:20" x14ac:dyDescent="0.25">
      <c r="B4" s="14"/>
    </row>
    <row r="6" spans="1:20" x14ac:dyDescent="0.25">
      <c r="D6" s="23" t="s">
        <v>4</v>
      </c>
      <c r="E6" s="23" t="s">
        <v>5</v>
      </c>
      <c r="F6" s="23" t="s">
        <v>6</v>
      </c>
      <c r="G6" s="23" t="s">
        <v>7</v>
      </c>
      <c r="H6" s="23" t="s">
        <v>8</v>
      </c>
      <c r="I6" s="23" t="s">
        <v>9</v>
      </c>
      <c r="J6" s="23" t="s">
        <v>10</v>
      </c>
      <c r="K6" s="23" t="s">
        <v>11</v>
      </c>
      <c r="L6" s="23" t="s">
        <v>12</v>
      </c>
      <c r="M6" s="23" t="s">
        <v>13</v>
      </c>
      <c r="N6" s="23" t="s">
        <v>14</v>
      </c>
      <c r="O6" s="23" t="s">
        <v>15</v>
      </c>
      <c r="P6" s="23" t="s">
        <v>0</v>
      </c>
      <c r="R6" s="34" t="s">
        <v>748</v>
      </c>
    </row>
    <row r="7" spans="1:20" x14ac:dyDescent="0.2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25">
      <c r="A8" s="23">
        <v>1</v>
      </c>
      <c r="B8" s="37" t="s">
        <v>22</v>
      </c>
      <c r="C8" s="23"/>
      <c r="D8" s="1">
        <v>12328.2</v>
      </c>
      <c r="E8" s="1">
        <v>12838.5</v>
      </c>
      <c r="F8" s="1">
        <v>9736.4</v>
      </c>
      <c r="G8" s="1">
        <v>8847.2999999999993</v>
      </c>
      <c r="H8" s="1">
        <v>9636.7000000000007</v>
      </c>
      <c r="I8" s="1">
        <v>11451.7</v>
      </c>
      <c r="J8" s="1">
        <v>12363.3</v>
      </c>
      <c r="K8" s="1">
        <v>12444.2</v>
      </c>
      <c r="L8" s="1">
        <v>9993</v>
      </c>
      <c r="M8" s="1">
        <v>11602.400000000001</v>
      </c>
      <c r="N8" s="1">
        <v>7900.4</v>
      </c>
      <c r="O8" s="1">
        <v>11978.3</v>
      </c>
      <c r="P8" s="1">
        <f>+'Usage WP'!R14</f>
        <v>119677.50000000001</v>
      </c>
    </row>
    <row r="9" spans="1:20" x14ac:dyDescent="0.25">
      <c r="A9" s="23">
        <f>+A8+1</f>
        <v>2</v>
      </c>
      <c r="D9" s="20"/>
      <c r="E9" s="20"/>
      <c r="F9" s="20"/>
      <c r="G9" s="20"/>
      <c r="H9" s="20"/>
      <c r="I9" s="20"/>
      <c r="J9" s="20"/>
      <c r="K9" s="20"/>
      <c r="L9" s="20"/>
      <c r="M9" s="20"/>
      <c r="N9" s="20"/>
      <c r="O9" s="20"/>
      <c r="P9" s="15"/>
      <c r="R9" s="1"/>
      <c r="T9" s="22"/>
    </row>
    <row r="10" spans="1:20" x14ac:dyDescent="0.25">
      <c r="A10" s="23">
        <f t="shared" ref="A10:A16" si="0">+A9+1</f>
        <v>3</v>
      </c>
      <c r="B10" s="37" t="s">
        <v>134</v>
      </c>
      <c r="D10" s="1">
        <v>18665.7</v>
      </c>
      <c r="E10" s="1">
        <v>18242.5</v>
      </c>
      <c r="F10" s="1">
        <v>18203.900000000001</v>
      </c>
      <c r="G10" s="1">
        <v>18536.400000000005</v>
      </c>
      <c r="H10" s="1">
        <v>18383.400000000001</v>
      </c>
      <c r="I10" s="1">
        <v>18377.200000000004</v>
      </c>
      <c r="J10" s="1">
        <v>18435.900000000001</v>
      </c>
      <c r="K10" s="1">
        <v>18844.900000000001</v>
      </c>
      <c r="L10" s="1">
        <v>17156.700000000004</v>
      </c>
      <c r="M10" s="1">
        <v>14820.300000000003</v>
      </c>
      <c r="N10" s="1">
        <v>18181.3</v>
      </c>
      <c r="O10" s="1">
        <v>17678.8</v>
      </c>
      <c r="P10" s="1">
        <f>+'Usage WP'!R29</f>
        <v>192315.8</v>
      </c>
      <c r="R10" s="1"/>
      <c r="T10" s="22"/>
    </row>
    <row r="11" spans="1:20" x14ac:dyDescent="0.25">
      <c r="A11" s="23">
        <f t="shared" si="0"/>
        <v>4</v>
      </c>
      <c r="B11" s="113"/>
      <c r="C11" s="23"/>
      <c r="D11" s="1"/>
      <c r="E11" s="1"/>
      <c r="F11" s="1"/>
      <c r="G11" s="1"/>
      <c r="H11" s="1"/>
      <c r="I11" s="1"/>
      <c r="J11" s="1"/>
      <c r="K11" s="1"/>
      <c r="L11" s="1"/>
      <c r="M11" s="1"/>
      <c r="N11" s="1"/>
      <c r="O11" s="1"/>
      <c r="P11" s="1"/>
      <c r="R11" s="1"/>
      <c r="T11" s="22"/>
    </row>
    <row r="12" spans="1:20" x14ac:dyDescent="0.25">
      <c r="A12" s="23">
        <f t="shared" si="0"/>
        <v>5</v>
      </c>
      <c r="B12" s="37" t="s">
        <v>111</v>
      </c>
      <c r="C12" s="23"/>
      <c r="D12" s="1">
        <v>160136.79999999999</v>
      </c>
      <c r="E12" s="1">
        <v>175214.6</v>
      </c>
      <c r="F12" s="1">
        <v>137313.90000000002</v>
      </c>
      <c r="G12" s="1">
        <v>205588.9</v>
      </c>
      <c r="H12" s="1">
        <v>232041.30000000005</v>
      </c>
      <c r="I12" s="1">
        <v>247814.00000000003</v>
      </c>
      <c r="J12" s="1">
        <v>321511.39999999997</v>
      </c>
      <c r="K12" s="1">
        <v>320602.09999999998</v>
      </c>
      <c r="L12" s="1">
        <v>269958.10000000003</v>
      </c>
      <c r="M12" s="1">
        <v>189432</v>
      </c>
      <c r="N12" s="1">
        <v>172250.5</v>
      </c>
      <c r="O12" s="1">
        <v>178727.90000000002</v>
      </c>
      <c r="P12" s="1">
        <f>+'Usage WP'!R55</f>
        <v>2600283</v>
      </c>
      <c r="R12" s="1"/>
      <c r="T12" s="22"/>
    </row>
    <row r="13" spans="1:20" x14ac:dyDescent="0.25">
      <c r="A13" s="23">
        <f t="shared" si="0"/>
        <v>6</v>
      </c>
      <c r="R13" s="1"/>
      <c r="T13" s="13"/>
    </row>
    <row r="14" spans="1:20" x14ac:dyDescent="0.25">
      <c r="A14" s="23">
        <f t="shared" si="0"/>
        <v>7</v>
      </c>
      <c r="B14" s="37" t="s">
        <v>752</v>
      </c>
      <c r="C14" s="112"/>
      <c r="D14" s="1">
        <f>+'Usage WP'!F62</f>
        <v>0</v>
      </c>
      <c r="E14" s="1">
        <f>+'Usage WP'!G62</f>
        <v>0</v>
      </c>
      <c r="F14" s="1">
        <f>+'Usage WP'!H62</f>
        <v>0</v>
      </c>
      <c r="G14" s="1">
        <f>+'Usage WP'!I62</f>
        <v>0</v>
      </c>
      <c r="H14" s="1">
        <f>+'Usage WP'!J62</f>
        <v>0</v>
      </c>
      <c r="I14" s="1">
        <f>+'Usage WP'!K62</f>
        <v>0</v>
      </c>
      <c r="J14" s="1">
        <f>+'Usage WP'!L62</f>
        <v>0</v>
      </c>
      <c r="K14" s="1">
        <f>+'Usage WP'!M62</f>
        <v>0</v>
      </c>
      <c r="L14" s="1">
        <f>+'Usage WP'!N62</f>
        <v>0</v>
      </c>
      <c r="M14" s="1">
        <f>+'Usage WP'!O62</f>
        <v>0</v>
      </c>
      <c r="N14" s="1">
        <f>+'Usage WP'!P62</f>
        <v>0</v>
      </c>
      <c r="O14" s="1">
        <f>+'Usage WP'!Q62</f>
        <v>0</v>
      </c>
      <c r="P14" s="1">
        <f>+'Usage WP'!R62</f>
        <v>0</v>
      </c>
    </row>
    <row r="15" spans="1:20" x14ac:dyDescent="0.25">
      <c r="A15" s="112">
        <f t="shared" si="0"/>
        <v>8</v>
      </c>
    </row>
    <row r="16" spans="1:20" x14ac:dyDescent="0.25">
      <c r="A16" s="112">
        <f t="shared" si="0"/>
        <v>9</v>
      </c>
      <c r="B16" s="37" t="s">
        <v>780</v>
      </c>
      <c r="D16" s="1">
        <f>+'Usage WP'!F64</f>
        <v>204656.6</v>
      </c>
      <c r="E16" s="1">
        <f>+'Usage WP'!G64</f>
        <v>269513.19999999995</v>
      </c>
      <c r="F16" s="1">
        <f>+'Usage WP'!H64</f>
        <v>190703.4</v>
      </c>
      <c r="G16" s="1">
        <f>+'Usage WP'!I64</f>
        <v>220763.19999999998</v>
      </c>
      <c r="H16" s="1">
        <f>+'Usage WP'!J64</f>
        <v>226932.00000000003</v>
      </c>
      <c r="I16" s="1">
        <f>+'Usage WP'!K64</f>
        <v>278832</v>
      </c>
      <c r="J16" s="1">
        <f>+'Usage WP'!L64</f>
        <v>315451.90000000002</v>
      </c>
      <c r="K16" s="1">
        <f>+'Usage WP'!M64</f>
        <v>339879.90000000008</v>
      </c>
      <c r="L16" s="1">
        <f>+'Usage WP'!N64</f>
        <v>308868.30000000005</v>
      </c>
      <c r="M16" s="1">
        <f>+'Usage WP'!O64</f>
        <v>191442.8</v>
      </c>
      <c r="N16" s="1">
        <f>+'Usage WP'!P64</f>
        <v>172212.3</v>
      </c>
      <c r="O16" s="1">
        <f>+'Usage WP'!Q64</f>
        <v>193020.69999999995</v>
      </c>
      <c r="P16" s="1">
        <f>+'Usage WP'!R64</f>
        <v>2912276.3</v>
      </c>
    </row>
    <row r="17" spans="1:20" x14ac:dyDescent="0.25">
      <c r="A17" s="23"/>
    </row>
    <row r="18" spans="1:20" x14ac:dyDescent="0.25">
      <c r="A18" s="23"/>
      <c r="B18" s="21" t="s">
        <v>782</v>
      </c>
    </row>
    <row r="19" spans="1:20" x14ac:dyDescent="0.25">
      <c r="A19" s="23"/>
    </row>
    <row r="20" spans="1:20" x14ac:dyDescent="0.25">
      <c r="A20" s="23"/>
      <c r="R20" s="1"/>
      <c r="T20" s="22"/>
    </row>
    <row r="21" spans="1:20" x14ac:dyDescent="0.25">
      <c r="A21" s="23"/>
    </row>
    <row r="22" spans="1:20" x14ac:dyDescent="0.25">
      <c r="A22" s="23"/>
      <c r="D22" s="1"/>
      <c r="E22" s="1"/>
      <c r="F22" s="1"/>
      <c r="G22" s="1"/>
      <c r="H22" s="1"/>
      <c r="I22" s="1"/>
      <c r="J22" s="1"/>
      <c r="K22" s="1"/>
      <c r="L22" s="1"/>
      <c r="M22" s="1"/>
      <c r="N22" s="1"/>
      <c r="O22" s="1"/>
      <c r="P22" s="22"/>
    </row>
    <row r="23" spans="1:20" x14ac:dyDescent="0.25">
      <c r="A23" s="23"/>
    </row>
    <row r="24" spans="1:20" x14ac:dyDescent="0.25">
      <c r="A24" s="23"/>
    </row>
    <row r="25" spans="1:20" x14ac:dyDescent="0.25">
      <c r="A25" s="23"/>
    </row>
    <row r="26" spans="1:20" x14ac:dyDescent="0.25">
      <c r="A26" s="23"/>
    </row>
    <row r="27" spans="1:20" x14ac:dyDescent="0.25">
      <c r="A27" s="23"/>
      <c r="R27" s="1"/>
    </row>
    <row r="28" spans="1:20" x14ac:dyDescent="0.25">
      <c r="A28" s="23"/>
    </row>
    <row r="29" spans="1:20" x14ac:dyDescent="0.25">
      <c r="A29" s="23"/>
    </row>
    <row r="30" spans="1:20" x14ac:dyDescent="0.25">
      <c r="A30" s="23"/>
    </row>
    <row r="31" spans="1:20" x14ac:dyDescent="0.25">
      <c r="A31" s="23"/>
    </row>
    <row r="32" spans="1:20" x14ac:dyDescent="0.25">
      <c r="A32" s="23"/>
      <c r="R32" s="1"/>
      <c r="T32" s="13"/>
    </row>
    <row r="33" spans="1:20" x14ac:dyDescent="0.25">
      <c r="A33" s="23"/>
      <c r="T33" s="13"/>
    </row>
    <row r="34" spans="1:20" x14ac:dyDescent="0.25">
      <c r="A34" s="23"/>
    </row>
    <row r="35" spans="1:20" x14ac:dyDescent="0.25">
      <c r="A35" s="23"/>
      <c r="R35" s="1"/>
      <c r="T35" s="22"/>
    </row>
    <row r="36" spans="1:20" x14ac:dyDescent="0.25">
      <c r="A36" s="23"/>
      <c r="R36" s="1"/>
      <c r="T36" s="22"/>
    </row>
    <row r="37" spans="1:20" x14ac:dyDescent="0.25">
      <c r="A37" s="23"/>
      <c r="R37" s="1"/>
      <c r="T37" s="22"/>
    </row>
    <row r="38" spans="1:20" x14ac:dyDescent="0.25">
      <c r="A38" s="23"/>
      <c r="R38" s="1"/>
      <c r="T38" s="22"/>
    </row>
    <row r="39" spans="1:20" x14ac:dyDescent="0.25">
      <c r="A39" s="23"/>
      <c r="R39" s="1"/>
      <c r="T39" s="22"/>
    </row>
    <row r="40" spans="1:20" x14ac:dyDescent="0.25">
      <c r="A40" s="23"/>
      <c r="R40" s="1"/>
      <c r="T40" s="22"/>
    </row>
    <row r="41" spans="1:20" x14ac:dyDescent="0.25">
      <c r="A41" s="23"/>
      <c r="R41" s="1"/>
      <c r="T41" s="22"/>
    </row>
    <row r="42" spans="1:20" x14ac:dyDescent="0.25">
      <c r="A42" s="23"/>
      <c r="R42" s="1"/>
      <c r="T42" s="22"/>
    </row>
    <row r="43" spans="1:20" x14ac:dyDescent="0.25">
      <c r="A43" s="23"/>
      <c r="R43" s="1"/>
      <c r="T43" s="22"/>
    </row>
    <row r="44" spans="1:20" x14ac:dyDescent="0.25">
      <c r="A44" s="23"/>
      <c r="R44" s="1"/>
      <c r="T44" s="22"/>
    </row>
    <row r="45" spans="1:20" x14ac:dyDescent="0.25">
      <c r="A45" s="23"/>
      <c r="Q45" s="90"/>
      <c r="R45" s="1"/>
      <c r="T45" s="22"/>
    </row>
    <row r="46" spans="1:20" x14ac:dyDescent="0.25">
      <c r="A46" s="23"/>
      <c r="R46" s="1"/>
      <c r="T46" s="22"/>
    </row>
    <row r="47" spans="1:20" x14ac:dyDescent="0.25">
      <c r="A47" s="23"/>
      <c r="R47" s="1"/>
      <c r="T47" s="22"/>
    </row>
    <row r="48" spans="1:20" x14ac:dyDescent="0.25">
      <c r="A48" s="23"/>
      <c r="Q48" s="90"/>
      <c r="R48" s="1"/>
      <c r="T48" s="22"/>
    </row>
    <row r="49" spans="1:20" x14ac:dyDescent="0.25">
      <c r="A49" s="23"/>
      <c r="Q49" s="90"/>
      <c r="R49" s="1"/>
      <c r="T49" s="22"/>
    </row>
    <row r="50" spans="1:20" x14ac:dyDescent="0.25">
      <c r="A50" s="23"/>
      <c r="Q50" s="90"/>
      <c r="R50" s="1"/>
      <c r="T50" s="22"/>
    </row>
    <row r="51" spans="1:20" x14ac:dyDescent="0.25">
      <c r="A51" s="23"/>
      <c r="R51" s="1"/>
      <c r="T51" s="22"/>
    </row>
    <row r="52" spans="1:20" x14ac:dyDescent="0.25">
      <c r="A52" s="23"/>
      <c r="R52" s="1"/>
      <c r="T52" s="22"/>
    </row>
    <row r="53" spans="1:20" x14ac:dyDescent="0.25">
      <c r="A53" s="23"/>
      <c r="Q53" s="111"/>
      <c r="R53" s="1"/>
      <c r="T53" s="22"/>
    </row>
    <row r="54" spans="1:20" x14ac:dyDescent="0.25">
      <c r="A54" s="23"/>
      <c r="R54" s="1"/>
      <c r="T54" s="22"/>
    </row>
    <row r="55" spans="1:20" x14ac:dyDescent="0.25">
      <c r="A55" s="23"/>
      <c r="R55" s="1"/>
      <c r="T55" s="22"/>
    </row>
    <row r="56" spans="1:20" x14ac:dyDescent="0.25">
      <c r="A56" s="23"/>
      <c r="R56" s="1"/>
      <c r="T56" s="22"/>
    </row>
    <row r="57" spans="1:20" x14ac:dyDescent="0.25">
      <c r="A57" s="23"/>
      <c r="R57" s="1"/>
      <c r="T57" s="22"/>
    </row>
    <row r="58" spans="1:20" x14ac:dyDescent="0.25">
      <c r="A58" s="23"/>
      <c r="R58" s="1"/>
      <c r="T58" s="22"/>
    </row>
    <row r="59" spans="1:20" x14ac:dyDescent="0.25">
      <c r="A59" s="23"/>
      <c r="R59" s="1"/>
      <c r="T59" s="13"/>
    </row>
    <row r="60" spans="1:20" x14ac:dyDescent="0.25">
      <c r="A60" s="23"/>
      <c r="T60" s="22"/>
    </row>
    <row r="61" spans="1:20" x14ac:dyDescent="0.25">
      <c r="A61" s="23"/>
      <c r="R61" s="1"/>
      <c r="T61" s="22"/>
    </row>
    <row r="62" spans="1:20" x14ac:dyDescent="0.25">
      <c r="T62" s="22"/>
    </row>
    <row r="63" spans="1:20" x14ac:dyDescent="0.2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workbookViewId="0">
      <selection activeCell="G23" sqref="G23"/>
    </sheetView>
  </sheetViews>
  <sheetFormatPr defaultColWidth="9.140625" defaultRowHeight="15" x14ac:dyDescent="0.25"/>
  <cols>
    <col min="1" max="1" width="3.85546875" style="43" customWidth="1"/>
    <col min="2" max="2" width="15.7109375" style="43" customWidth="1"/>
    <col min="3" max="3" width="16.85546875" style="43" customWidth="1"/>
    <col min="4" max="4" width="4.28515625" style="43" customWidth="1"/>
    <col min="5" max="5" width="16.85546875" style="43" customWidth="1"/>
    <col min="6" max="6" width="4.28515625" style="43" customWidth="1"/>
    <col min="7" max="7" width="27.42578125" style="43" bestFit="1" customWidth="1"/>
    <col min="8" max="8" width="9.140625" style="43"/>
    <col min="9" max="9" width="12.85546875" style="43" bestFit="1" customWidth="1"/>
    <col min="10" max="10" width="11.42578125" style="43" bestFit="1" customWidth="1"/>
    <col min="11" max="11" width="11.28515625" style="43" bestFit="1" customWidth="1"/>
    <col min="12" max="12" width="12.85546875" style="43" bestFit="1" customWidth="1"/>
    <col min="13" max="16384" width="9.140625" style="43"/>
  </cols>
  <sheetData>
    <row r="1" spans="1:9" x14ac:dyDescent="0.25">
      <c r="A1" s="181" t="s">
        <v>23</v>
      </c>
      <c r="B1" s="181"/>
      <c r="C1" s="181"/>
      <c r="D1" s="181"/>
      <c r="E1" s="181"/>
      <c r="F1" s="181"/>
      <c r="G1" s="181"/>
    </row>
    <row r="2" spans="1:9" x14ac:dyDescent="0.25">
      <c r="A2" s="181" t="s">
        <v>185</v>
      </c>
      <c r="B2" s="181"/>
      <c r="C2" s="181"/>
      <c r="D2" s="181"/>
      <c r="E2" s="181"/>
      <c r="F2" s="181"/>
      <c r="G2" s="181"/>
    </row>
    <row r="3" spans="1:9" x14ac:dyDescent="0.25">
      <c r="A3" s="181" t="s">
        <v>864</v>
      </c>
      <c r="B3" s="181"/>
      <c r="C3" s="181"/>
      <c r="D3" s="181"/>
      <c r="E3" s="181"/>
      <c r="F3" s="181"/>
      <c r="G3" s="181"/>
    </row>
    <row r="4" spans="1:9" x14ac:dyDescent="0.25">
      <c r="B4" s="44" t="s">
        <v>240</v>
      </c>
    </row>
    <row r="5" spans="1:9" x14ac:dyDescent="0.25">
      <c r="C5" s="42" t="s">
        <v>508</v>
      </c>
      <c r="D5" s="42"/>
      <c r="E5" s="42" t="s">
        <v>509</v>
      </c>
      <c r="F5" s="42"/>
      <c r="G5" s="42" t="s">
        <v>510</v>
      </c>
    </row>
    <row r="7" spans="1:9" x14ac:dyDescent="0.25">
      <c r="C7" s="42" t="s">
        <v>192</v>
      </c>
      <c r="D7" s="42"/>
      <c r="E7" s="42" t="s">
        <v>193</v>
      </c>
    </row>
    <row r="8" spans="1:9" x14ac:dyDescent="0.25">
      <c r="C8" s="50" t="s">
        <v>186</v>
      </c>
      <c r="D8" s="50"/>
      <c r="E8" s="50" t="s">
        <v>187</v>
      </c>
      <c r="F8" s="50"/>
      <c r="G8" s="50" t="s">
        <v>0</v>
      </c>
    </row>
    <row r="10" spans="1:9" x14ac:dyDescent="0.25">
      <c r="A10" s="42">
        <v>1</v>
      </c>
      <c r="B10" s="51" t="s">
        <v>22</v>
      </c>
      <c r="C10" s="150">
        <f>+C21</f>
        <v>6426412.2599999998</v>
      </c>
      <c r="D10" s="150"/>
      <c r="E10" s="150">
        <f>+E21</f>
        <v>28470</v>
      </c>
      <c r="F10" s="45"/>
      <c r="G10" s="45">
        <f t="shared" ref="G10:G14" si="0">SUM(C10:F10)</f>
        <v>6454882.2599999998</v>
      </c>
      <c r="I10" s="34" t="s">
        <v>749</v>
      </c>
    </row>
    <row r="11" spans="1:9" x14ac:dyDescent="0.25">
      <c r="A11" s="42">
        <f>+A10+1</f>
        <v>2</v>
      </c>
      <c r="B11" s="52" t="s">
        <v>19</v>
      </c>
      <c r="C11" s="150">
        <f>+C27</f>
        <v>16160173.129999999</v>
      </c>
      <c r="D11" s="150"/>
      <c r="E11" s="150">
        <f>+E27</f>
        <v>7951</v>
      </c>
      <c r="F11" s="45"/>
      <c r="G11" s="45">
        <f>SUM(C11:F11)</f>
        <v>16168124.129999999</v>
      </c>
      <c r="I11" s="34"/>
    </row>
    <row r="12" spans="1:9" x14ac:dyDescent="0.25">
      <c r="A12" s="42">
        <f t="shared" ref="A12:A45" si="1">+A11+1</f>
        <v>3</v>
      </c>
      <c r="B12" s="53" t="s">
        <v>36</v>
      </c>
      <c r="C12" s="150">
        <f>+C33</f>
        <v>38600630.160000004</v>
      </c>
      <c r="D12" s="150"/>
      <c r="E12" s="150">
        <f>+E33</f>
        <v>0</v>
      </c>
      <c r="F12" s="45"/>
      <c r="G12" s="45">
        <f>SUM(C12:F12)</f>
        <v>38600630.160000004</v>
      </c>
    </row>
    <row r="13" spans="1:9" x14ac:dyDescent="0.25">
      <c r="A13" s="42">
        <f t="shared" si="1"/>
        <v>4</v>
      </c>
      <c r="B13" s="53" t="s">
        <v>752</v>
      </c>
      <c r="C13" s="150">
        <f>+C39</f>
        <v>0</v>
      </c>
      <c r="D13" s="150"/>
      <c r="E13" s="150">
        <f>+E39</f>
        <v>0</v>
      </c>
      <c r="F13" s="45"/>
      <c r="G13" s="45">
        <f>SUM(C13:F13)</f>
        <v>0</v>
      </c>
    </row>
    <row r="14" spans="1:9" x14ac:dyDescent="0.25">
      <c r="A14" s="42">
        <f t="shared" si="1"/>
        <v>5</v>
      </c>
      <c r="B14" s="51" t="s">
        <v>98</v>
      </c>
      <c r="C14" s="150">
        <f>+C45</f>
        <v>28580074.739999998</v>
      </c>
      <c r="D14" s="150"/>
      <c r="E14" s="150">
        <f>+E45</f>
        <v>4168483.83</v>
      </c>
      <c r="F14" s="45"/>
      <c r="G14" s="45">
        <f t="shared" si="0"/>
        <v>32748558.57</v>
      </c>
      <c r="I14" s="54"/>
    </row>
    <row r="15" spans="1:9" ht="15.75" thickBot="1" x14ac:dyDescent="0.3">
      <c r="A15" s="42">
        <f t="shared" si="1"/>
        <v>6</v>
      </c>
      <c r="B15" s="52" t="s">
        <v>168</v>
      </c>
      <c r="C15" s="98">
        <f>SUM(C10:C14)</f>
        <v>89767290.290000007</v>
      </c>
      <c r="D15" s="52"/>
      <c r="E15" s="98">
        <f>SUM(E10:E14)</f>
        <v>4204904.83</v>
      </c>
      <c r="F15" s="52"/>
      <c r="G15" s="98">
        <f>SUM(G10:G14)</f>
        <v>93972195.120000005</v>
      </c>
    </row>
    <row r="16" spans="1:9" ht="15.75" thickTop="1" x14ac:dyDescent="0.25">
      <c r="A16" s="42">
        <f t="shared" si="1"/>
        <v>7</v>
      </c>
      <c r="B16" s="52"/>
      <c r="C16" s="52"/>
      <c r="D16" s="52"/>
      <c r="F16" s="52"/>
      <c r="G16" s="45"/>
    </row>
    <row r="17" spans="1:7" x14ac:dyDescent="0.25">
      <c r="A17" s="42">
        <f t="shared" si="1"/>
        <v>8</v>
      </c>
      <c r="B17" s="52"/>
      <c r="C17" s="46" t="s">
        <v>22</v>
      </c>
      <c r="D17" s="45"/>
      <c r="E17" s="46" t="s">
        <v>22</v>
      </c>
      <c r="F17" s="45"/>
      <c r="G17" s="46" t="s">
        <v>22</v>
      </c>
    </row>
    <row r="18" spans="1:7" x14ac:dyDescent="0.25">
      <c r="A18" s="42">
        <f t="shared" si="1"/>
        <v>9</v>
      </c>
      <c r="B18" s="52" t="s">
        <v>188</v>
      </c>
      <c r="C18" s="156">
        <v>6601421</v>
      </c>
      <c r="D18" s="155"/>
      <c r="E18" s="156">
        <v>28470</v>
      </c>
      <c r="F18" s="45"/>
      <c r="G18" s="45">
        <f>SUM(C18:F18)</f>
        <v>6629891</v>
      </c>
    </row>
    <row r="19" spans="1:7" x14ac:dyDescent="0.25">
      <c r="A19" s="42">
        <f t="shared" si="1"/>
        <v>10</v>
      </c>
      <c r="B19" s="52" t="s">
        <v>189</v>
      </c>
      <c r="C19" s="156">
        <v>0</v>
      </c>
      <c r="D19" s="155"/>
      <c r="E19" s="156"/>
      <c r="F19" s="45"/>
      <c r="G19" s="45">
        <f>SUM(C19:F19)</f>
        <v>0</v>
      </c>
    </row>
    <row r="20" spans="1:7" x14ac:dyDescent="0.25">
      <c r="A20" s="42">
        <f t="shared" si="1"/>
        <v>11</v>
      </c>
      <c r="B20" s="52" t="s">
        <v>190</v>
      </c>
      <c r="C20" s="156">
        <v>175008.74</v>
      </c>
      <c r="D20" s="155"/>
      <c r="E20" s="156">
        <v>0</v>
      </c>
      <c r="F20" s="45"/>
      <c r="G20" s="45">
        <f>SUM(C20:F20)</f>
        <v>175008.74</v>
      </c>
    </row>
    <row r="21" spans="1:7" ht="15.75" thickBot="1" x14ac:dyDescent="0.3">
      <c r="A21" s="42">
        <f t="shared" si="1"/>
        <v>12</v>
      </c>
      <c r="B21" s="52" t="s">
        <v>191</v>
      </c>
      <c r="C21" s="47">
        <f>+C18+C19-C20</f>
        <v>6426412.2599999998</v>
      </c>
      <c r="D21" s="45"/>
      <c r="E21" s="47">
        <f>+E18+E19-E20</f>
        <v>28470</v>
      </c>
      <c r="F21" s="45"/>
      <c r="G21" s="47">
        <f>+G18+G19-G20</f>
        <v>6454882.2599999998</v>
      </c>
    </row>
    <row r="22" spans="1:7" ht="15.75" thickTop="1" x14ac:dyDescent="0.25">
      <c r="A22" s="42">
        <f t="shared" si="1"/>
        <v>13</v>
      </c>
      <c r="B22" s="52"/>
      <c r="C22" s="45"/>
      <c r="D22" s="45"/>
      <c r="E22" s="45"/>
      <c r="F22" s="45"/>
      <c r="G22" s="45"/>
    </row>
    <row r="23" spans="1:7" x14ac:dyDescent="0.25">
      <c r="A23" s="42">
        <f t="shared" si="1"/>
        <v>14</v>
      </c>
      <c r="B23" s="52"/>
      <c r="C23" s="55" t="s">
        <v>19</v>
      </c>
      <c r="D23" s="45"/>
      <c r="E23" s="55" t="s">
        <v>19</v>
      </c>
      <c r="F23" s="45"/>
      <c r="G23" s="55" t="s">
        <v>19</v>
      </c>
    </row>
    <row r="24" spans="1:7" x14ac:dyDescent="0.25">
      <c r="A24" s="42">
        <f t="shared" si="1"/>
        <v>15</v>
      </c>
      <c r="B24" s="52" t="s">
        <v>188</v>
      </c>
      <c r="C24" s="156">
        <v>16797318.789999999</v>
      </c>
      <c r="D24" s="155"/>
      <c r="E24" s="156">
        <v>7951</v>
      </c>
      <c r="F24" s="45"/>
      <c r="G24" s="45">
        <f>SUM(C24:F24)</f>
        <v>16805269.789999999</v>
      </c>
    </row>
    <row r="25" spans="1:7" x14ac:dyDescent="0.25">
      <c r="A25" s="42">
        <f t="shared" si="1"/>
        <v>16</v>
      </c>
      <c r="B25" s="52" t="s">
        <v>189</v>
      </c>
      <c r="C25" s="156">
        <v>0</v>
      </c>
      <c r="D25" s="155"/>
      <c r="E25" s="156">
        <v>0</v>
      </c>
      <c r="F25" s="45"/>
      <c r="G25" s="45">
        <f>SUM(C25:F25)</f>
        <v>0</v>
      </c>
    </row>
    <row r="26" spans="1:7" x14ac:dyDescent="0.25">
      <c r="A26" s="42">
        <f t="shared" si="1"/>
        <v>17</v>
      </c>
      <c r="B26" s="52" t="s">
        <v>190</v>
      </c>
      <c r="C26" s="156">
        <v>637145.66</v>
      </c>
      <c r="D26" s="155"/>
      <c r="E26" s="156"/>
      <c r="F26" s="45"/>
      <c r="G26" s="45">
        <f>SUM(C26:F26)</f>
        <v>637145.66</v>
      </c>
    </row>
    <row r="27" spans="1:7" ht="15.75" thickBot="1" x14ac:dyDescent="0.3">
      <c r="A27" s="42">
        <f t="shared" si="1"/>
        <v>18</v>
      </c>
      <c r="B27" s="52" t="s">
        <v>191</v>
      </c>
      <c r="C27" s="47">
        <f>+C24+C25-C26</f>
        <v>16160173.129999999</v>
      </c>
      <c r="D27" s="45"/>
      <c r="E27" s="47">
        <f>+E24+E25-E26</f>
        <v>7951</v>
      </c>
      <c r="F27" s="45"/>
      <c r="G27" s="47">
        <f>+G24+G25-G26</f>
        <v>16168124.129999999</v>
      </c>
    </row>
    <row r="28" spans="1:7" ht="15.75" thickTop="1" x14ac:dyDescent="0.25">
      <c r="A28" s="42">
        <f t="shared" si="1"/>
        <v>19</v>
      </c>
      <c r="B28" s="52"/>
      <c r="C28" s="45"/>
      <c r="D28" s="45"/>
      <c r="E28" s="45"/>
      <c r="F28" s="45"/>
      <c r="G28" s="45"/>
    </row>
    <row r="29" spans="1:7" x14ac:dyDescent="0.25">
      <c r="A29" s="42">
        <f t="shared" si="1"/>
        <v>20</v>
      </c>
      <c r="B29" s="52"/>
      <c r="C29" s="48" t="s">
        <v>36</v>
      </c>
      <c r="D29" s="45"/>
      <c r="E29" s="48" t="s">
        <v>36</v>
      </c>
      <c r="F29" s="45"/>
      <c r="G29" s="48" t="s">
        <v>36</v>
      </c>
    </row>
    <row r="30" spans="1:7" x14ac:dyDescent="0.25">
      <c r="A30" s="42">
        <f t="shared" si="1"/>
        <v>21</v>
      </c>
      <c r="B30" s="52" t="s">
        <v>188</v>
      </c>
      <c r="C30" s="156">
        <v>39476619.57</v>
      </c>
      <c r="D30" s="155"/>
      <c r="E30" s="156">
        <v>0</v>
      </c>
      <c r="F30" s="45"/>
      <c r="G30" s="45">
        <f>SUM(C30:F30)</f>
        <v>39476619.57</v>
      </c>
    </row>
    <row r="31" spans="1:7" x14ac:dyDescent="0.25">
      <c r="A31" s="42">
        <f t="shared" si="1"/>
        <v>22</v>
      </c>
      <c r="B31" s="52" t="s">
        <v>189</v>
      </c>
      <c r="C31" s="156">
        <v>0</v>
      </c>
      <c r="D31" s="155"/>
      <c r="E31" s="156">
        <v>0</v>
      </c>
      <c r="F31" s="45"/>
      <c r="G31" s="45">
        <f>SUM(C31:F31)</f>
        <v>0</v>
      </c>
    </row>
    <row r="32" spans="1:7" x14ac:dyDescent="0.25">
      <c r="A32" s="42">
        <f t="shared" si="1"/>
        <v>23</v>
      </c>
      <c r="B32" s="52" t="s">
        <v>190</v>
      </c>
      <c r="C32" s="156">
        <v>875989.41</v>
      </c>
      <c r="D32" s="155"/>
      <c r="E32" s="156">
        <v>0</v>
      </c>
      <c r="F32" s="45"/>
      <c r="G32" s="45">
        <f>SUM(C32:F32)</f>
        <v>875989.41</v>
      </c>
    </row>
    <row r="33" spans="1:7" ht="15.75" thickBot="1" x14ac:dyDescent="0.3">
      <c r="A33" s="42">
        <f t="shared" si="1"/>
        <v>24</v>
      </c>
      <c r="B33" s="52" t="s">
        <v>191</v>
      </c>
      <c r="C33" s="47">
        <f>+C30+C31-C32</f>
        <v>38600630.160000004</v>
      </c>
      <c r="D33" s="45"/>
      <c r="E33" s="47">
        <f>+E30+E31-E32</f>
        <v>0</v>
      </c>
      <c r="F33" s="45"/>
      <c r="G33" s="47">
        <f>+G30+G31-G32</f>
        <v>38600630.160000004</v>
      </c>
    </row>
    <row r="34" spans="1:7" ht="15.75" thickTop="1" x14ac:dyDescent="0.25">
      <c r="A34" s="42">
        <f t="shared" si="1"/>
        <v>25</v>
      </c>
      <c r="B34" s="52"/>
      <c r="C34" s="45"/>
      <c r="D34" s="45"/>
      <c r="E34" s="45"/>
      <c r="F34" s="45"/>
      <c r="G34" s="45"/>
    </row>
    <row r="35" spans="1:7" x14ac:dyDescent="0.25">
      <c r="A35" s="42">
        <f t="shared" si="1"/>
        <v>26</v>
      </c>
      <c r="B35" s="52"/>
      <c r="C35" s="107" t="s">
        <v>752</v>
      </c>
      <c r="D35" s="45"/>
      <c r="E35" s="107" t="s">
        <v>752</v>
      </c>
      <c r="F35" s="45"/>
      <c r="G35" s="107" t="s">
        <v>752</v>
      </c>
    </row>
    <row r="36" spans="1:7" x14ac:dyDescent="0.25">
      <c r="A36" s="42">
        <f t="shared" si="1"/>
        <v>27</v>
      </c>
      <c r="B36" s="52" t="s">
        <v>188</v>
      </c>
      <c r="C36" s="149">
        <v>0</v>
      </c>
      <c r="D36" s="45"/>
      <c r="E36" s="149">
        <v>0</v>
      </c>
      <c r="F36" s="45"/>
      <c r="G36" s="45">
        <f>SUM(C36:F36)</f>
        <v>0</v>
      </c>
    </row>
    <row r="37" spans="1:7" x14ac:dyDescent="0.25">
      <c r="A37" s="42">
        <f t="shared" si="1"/>
        <v>28</v>
      </c>
      <c r="B37" s="52" t="s">
        <v>189</v>
      </c>
      <c r="C37" s="149">
        <v>0</v>
      </c>
      <c r="D37" s="45"/>
      <c r="E37" s="149">
        <v>0</v>
      </c>
      <c r="F37" s="45"/>
      <c r="G37" s="45">
        <f>SUM(C37:F37)</f>
        <v>0</v>
      </c>
    </row>
    <row r="38" spans="1:7" x14ac:dyDescent="0.25">
      <c r="A38" s="42">
        <f t="shared" si="1"/>
        <v>29</v>
      </c>
      <c r="B38" s="52" t="s">
        <v>190</v>
      </c>
      <c r="C38" s="149">
        <v>0</v>
      </c>
      <c r="D38" s="45"/>
      <c r="E38" s="149">
        <v>0</v>
      </c>
      <c r="F38" s="45"/>
      <c r="G38" s="45">
        <f>SUM(C38:F38)</f>
        <v>0</v>
      </c>
    </row>
    <row r="39" spans="1:7" ht="15.75" thickBot="1" x14ac:dyDescent="0.3">
      <c r="A39" s="42">
        <f t="shared" si="1"/>
        <v>30</v>
      </c>
      <c r="B39" s="52" t="s">
        <v>191</v>
      </c>
      <c r="C39" s="47">
        <f>+C36+C37-C38</f>
        <v>0</v>
      </c>
      <c r="D39" s="45"/>
      <c r="E39" s="47">
        <f>+E36+E37-E38</f>
        <v>0</v>
      </c>
      <c r="F39" s="45"/>
      <c r="G39" s="47">
        <f>+G36+G37-G38</f>
        <v>0</v>
      </c>
    </row>
    <row r="40" spans="1:7" ht="15.75" thickTop="1" x14ac:dyDescent="0.25">
      <c r="A40" s="42">
        <f t="shared" si="1"/>
        <v>31</v>
      </c>
      <c r="B40" s="52"/>
      <c r="C40" s="45"/>
      <c r="D40" s="45"/>
      <c r="E40" s="45"/>
      <c r="F40" s="45"/>
      <c r="G40" s="45"/>
    </row>
    <row r="41" spans="1:7" x14ac:dyDescent="0.25">
      <c r="A41" s="42">
        <f t="shared" si="1"/>
        <v>32</v>
      </c>
      <c r="B41" s="52"/>
      <c r="C41" s="97" t="s">
        <v>775</v>
      </c>
      <c r="D41" s="45"/>
      <c r="E41" s="97" t="s">
        <v>775</v>
      </c>
      <c r="F41" s="45"/>
      <c r="G41" s="97" t="s">
        <v>775</v>
      </c>
    </row>
    <row r="42" spans="1:7" x14ac:dyDescent="0.25">
      <c r="A42" s="42">
        <f t="shared" si="1"/>
        <v>33</v>
      </c>
      <c r="B42" s="52" t="s">
        <v>188</v>
      </c>
      <c r="C42" s="149">
        <v>26942267.859999999</v>
      </c>
      <c r="D42" s="45"/>
      <c r="E42" s="149">
        <v>3880433.29</v>
      </c>
      <c r="F42" s="45"/>
      <c r="G42" s="45">
        <f>SUM(C42:F42)</f>
        <v>30822701.149999999</v>
      </c>
    </row>
    <row r="43" spans="1:7" x14ac:dyDescent="0.25">
      <c r="A43" s="42">
        <f t="shared" si="1"/>
        <v>34</v>
      </c>
      <c r="B43" s="52" t="s">
        <v>189</v>
      </c>
      <c r="C43" s="149">
        <v>2357012.8199999998</v>
      </c>
      <c r="D43" s="45"/>
      <c r="E43" s="149">
        <v>288050.53999999998</v>
      </c>
      <c r="F43" s="45"/>
      <c r="G43" s="45">
        <f>SUM(C43:F43)</f>
        <v>2645063.36</v>
      </c>
    </row>
    <row r="44" spans="1:7" x14ac:dyDescent="0.25">
      <c r="A44" s="42">
        <f t="shared" si="1"/>
        <v>35</v>
      </c>
      <c r="B44" s="52" t="s">
        <v>190</v>
      </c>
      <c r="C44" s="149">
        <v>719205.94</v>
      </c>
      <c r="D44" s="45"/>
      <c r="E44" s="149">
        <v>0</v>
      </c>
      <c r="F44" s="45"/>
      <c r="G44" s="45">
        <f>SUM(C44:F44)</f>
        <v>719205.94</v>
      </c>
    </row>
    <row r="45" spans="1:7" ht="15.75" thickBot="1" x14ac:dyDescent="0.3">
      <c r="A45" s="42">
        <f t="shared" si="1"/>
        <v>36</v>
      </c>
      <c r="B45" s="52" t="s">
        <v>191</v>
      </c>
      <c r="C45" s="47">
        <f>+C42+C43-C44</f>
        <v>28580074.739999998</v>
      </c>
      <c r="D45" s="45"/>
      <c r="E45" s="47">
        <f>+E42+E43-E44</f>
        <v>4168483.83</v>
      </c>
      <c r="F45" s="45"/>
      <c r="G45" s="47">
        <f>+G42+G43-G44</f>
        <v>32748558.569999997</v>
      </c>
    </row>
    <row r="46" spans="1:7" ht="15.75" thickTop="1" x14ac:dyDescent="0.25">
      <c r="A46" s="42"/>
      <c r="B46" s="52"/>
      <c r="C46" s="45"/>
      <c r="D46" s="45"/>
      <c r="E46" s="45"/>
      <c r="F46" s="45"/>
      <c r="G46" s="45"/>
    </row>
    <row r="47" spans="1:7" x14ac:dyDescent="0.25">
      <c r="A47" s="42"/>
    </row>
    <row r="48" spans="1:7" x14ac:dyDescent="0.25">
      <c r="A48" s="42"/>
    </row>
    <row r="49" spans="1:7" x14ac:dyDescent="0.25">
      <c r="A49" s="42"/>
    </row>
    <row r="50" spans="1:7" x14ac:dyDescent="0.25">
      <c r="A50" s="42"/>
    </row>
    <row r="51" spans="1:7" x14ac:dyDescent="0.25">
      <c r="A51" s="42"/>
    </row>
    <row r="52" spans="1:7" x14ac:dyDescent="0.25">
      <c r="A52" s="42"/>
    </row>
    <row r="53" spans="1:7" x14ac:dyDescent="0.25">
      <c r="A53" s="42"/>
    </row>
    <row r="54" spans="1:7" x14ac:dyDescent="0.25">
      <c r="A54" s="42"/>
    </row>
    <row r="55" spans="1:7" x14ac:dyDescent="0.25">
      <c r="A55" s="42"/>
    </row>
    <row r="56" spans="1:7" x14ac:dyDescent="0.25">
      <c r="A56" s="42"/>
    </row>
    <row r="58" spans="1:7" x14ac:dyDescent="0.25">
      <c r="C58" s="49"/>
      <c r="D58" s="49"/>
      <c r="E58" s="49"/>
      <c r="F58" s="49"/>
      <c r="G58" s="49"/>
    </row>
    <row r="59" spans="1:7" x14ac:dyDescent="0.25">
      <c r="C59" s="49"/>
      <c r="D59" s="49"/>
      <c r="E59" s="49"/>
      <c r="F59" s="49"/>
      <c r="G59" s="49"/>
    </row>
    <row r="60" spans="1:7" x14ac:dyDescent="0.25">
      <c r="C60" s="49"/>
      <c r="D60" s="49"/>
      <c r="E60" s="49"/>
      <c r="F60" s="49"/>
      <c r="G60" s="49"/>
    </row>
    <row r="61" spans="1:7" x14ac:dyDescent="0.25">
      <c r="C61" s="49"/>
      <c r="D61" s="49"/>
      <c r="E61" s="49"/>
      <c r="F61" s="49"/>
      <c r="G61" s="49"/>
    </row>
    <row r="62" spans="1:7" x14ac:dyDescent="0.25">
      <c r="C62" s="49"/>
      <c r="D62" s="49"/>
      <c r="E62" s="49"/>
      <c r="F62" s="49"/>
      <c r="G62" s="49"/>
    </row>
    <row r="63" spans="1:7" x14ac:dyDescent="0.25">
      <c r="C63" s="49"/>
      <c r="D63" s="49"/>
      <c r="E63" s="49"/>
      <c r="F63" s="49"/>
      <c r="G63" s="49"/>
    </row>
    <row r="64" spans="1:7" x14ac:dyDescent="0.25">
      <c r="C64" s="49"/>
      <c r="D64" s="49"/>
      <c r="E64" s="49"/>
      <c r="F64" s="49"/>
      <c r="G64" s="49"/>
    </row>
    <row r="65" spans="3:7" x14ac:dyDescent="0.25">
      <c r="C65" s="49"/>
      <c r="D65" s="49"/>
      <c r="E65" s="49"/>
      <c r="F65" s="49"/>
      <c r="G65" s="49"/>
    </row>
    <row r="66" spans="3:7" x14ac:dyDescent="0.25">
      <c r="C66" s="49"/>
      <c r="D66" s="49"/>
      <c r="E66" s="49"/>
      <c r="F66" s="49"/>
      <c r="G66" s="49"/>
    </row>
    <row r="67" spans="3:7" x14ac:dyDescent="0.25">
      <c r="C67" s="49"/>
      <c r="D67" s="49"/>
      <c r="E67" s="49"/>
      <c r="F67" s="49"/>
      <c r="G67" s="49"/>
    </row>
    <row r="68" spans="3:7" x14ac:dyDescent="0.25">
      <c r="C68" s="49"/>
      <c r="D68" s="49"/>
      <c r="E68" s="49"/>
      <c r="F68" s="49"/>
      <c r="G68" s="49"/>
    </row>
    <row r="69" spans="3:7" x14ac:dyDescent="0.25">
      <c r="C69" s="49"/>
      <c r="D69" s="49"/>
      <c r="E69" s="49"/>
      <c r="F69" s="49"/>
      <c r="G69" s="49"/>
    </row>
    <row r="70" spans="3:7" x14ac:dyDescent="0.25">
      <c r="C70" s="49"/>
      <c r="D70" s="49"/>
      <c r="E70" s="49"/>
      <c r="F70" s="49"/>
      <c r="G70" s="49"/>
    </row>
    <row r="71" spans="3:7" x14ac:dyDescent="0.25">
      <c r="C71" s="49"/>
      <c r="D71" s="49"/>
      <c r="E71" s="49"/>
      <c r="F71" s="49"/>
      <c r="G71" s="49"/>
    </row>
    <row r="72" spans="3:7" x14ac:dyDescent="0.25">
      <c r="C72" s="49"/>
      <c r="D72" s="49"/>
      <c r="E72" s="49"/>
      <c r="F72" s="49"/>
      <c r="G72" s="49"/>
    </row>
    <row r="73" spans="3:7" x14ac:dyDescent="0.2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workbookViewId="0">
      <selection activeCell="J35" sqref="J35"/>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182" t="s">
        <v>27</v>
      </c>
      <c r="B1" s="182"/>
      <c r="C1" s="182"/>
      <c r="D1" s="182"/>
      <c r="E1" s="182"/>
      <c r="F1" s="182"/>
      <c r="G1" s="182"/>
      <c r="H1" s="182"/>
      <c r="I1" s="182"/>
      <c r="J1" s="182"/>
      <c r="K1" s="182"/>
      <c r="L1" s="182"/>
      <c r="M1" s="182"/>
      <c r="N1" s="182"/>
      <c r="O1" s="182"/>
      <c r="P1" s="182"/>
      <c r="Q1" s="182"/>
    </row>
    <row r="2" spans="1:19" x14ac:dyDescent="0.25">
      <c r="A2" s="182" t="s">
        <v>199</v>
      </c>
      <c r="B2" s="182"/>
      <c r="C2" s="182"/>
      <c r="D2" s="182"/>
      <c r="E2" s="182"/>
      <c r="F2" s="182"/>
      <c r="G2" s="182"/>
      <c r="H2" s="182"/>
      <c r="I2" s="182"/>
      <c r="J2" s="182"/>
      <c r="K2" s="182"/>
      <c r="L2" s="182"/>
      <c r="M2" s="182"/>
      <c r="N2" s="182"/>
      <c r="O2" s="182"/>
      <c r="P2" s="182"/>
      <c r="Q2" s="182"/>
    </row>
    <row r="3" spans="1:19" x14ac:dyDescent="0.25">
      <c r="A3" s="7"/>
    </row>
    <row r="4" spans="1:19" x14ac:dyDescent="0.25">
      <c r="A4" s="7" t="s">
        <v>240</v>
      </c>
      <c r="S4" s="34" t="s">
        <v>850</v>
      </c>
    </row>
    <row r="5" spans="1:19" x14ac:dyDescent="0.25">
      <c r="A5" s="7"/>
    </row>
    <row r="6" spans="1:19" x14ac:dyDescent="0.25">
      <c r="B6" t="s">
        <v>200</v>
      </c>
    </row>
    <row r="7" spans="1:19" x14ac:dyDescent="0.25">
      <c r="B7" t="s">
        <v>201</v>
      </c>
    </row>
    <row r="8" spans="1:19" x14ac:dyDescent="0.25">
      <c r="B8" t="s">
        <v>202</v>
      </c>
    </row>
    <row r="9" spans="1:19" x14ac:dyDescent="0.25">
      <c r="B9" t="s">
        <v>203</v>
      </c>
    </row>
    <row r="10" spans="1:19" x14ac:dyDescent="0.25">
      <c r="B10" t="s">
        <v>783</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3" t="s">
        <v>101</v>
      </c>
      <c r="E17" s="3" t="s">
        <v>101</v>
      </c>
      <c r="F17" s="3" t="s">
        <v>101</v>
      </c>
      <c r="G17" s="3" t="s">
        <v>101</v>
      </c>
      <c r="I17" s="3" t="s">
        <v>101</v>
      </c>
      <c r="J17" s="3" t="s">
        <v>101</v>
      </c>
      <c r="K17" s="3" t="s">
        <v>101</v>
      </c>
      <c r="M17" s="3" t="s">
        <v>101</v>
      </c>
      <c r="N17" s="3" t="s">
        <v>101</v>
      </c>
      <c r="P17" s="3" t="s">
        <v>101</v>
      </c>
      <c r="Q17" s="3" t="s">
        <v>101</v>
      </c>
    </row>
    <row r="18" spans="1:17" x14ac:dyDescent="0.2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2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2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2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2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2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2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2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2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2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2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2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2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2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2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2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2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2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2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2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2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2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C7" sqref="C7"/>
    </sheetView>
  </sheetViews>
  <sheetFormatPr defaultColWidth="9.140625" defaultRowHeight="15" x14ac:dyDescent="0.25"/>
  <cols>
    <col min="1" max="1" width="4.42578125" style="34" customWidth="1"/>
    <col min="2" max="2" width="18.7109375" style="34" customWidth="1"/>
    <col min="3" max="6" width="11.7109375" style="34" bestFit="1" customWidth="1"/>
    <col min="7" max="7" width="12.28515625" style="34" bestFit="1" customWidth="1"/>
    <col min="8" max="11" width="11.7109375" style="34" bestFit="1" customWidth="1"/>
    <col min="12" max="12" width="12.42578125" style="34" bestFit="1" customWidth="1"/>
    <col min="13" max="14" width="11.7109375" style="34" bestFit="1" customWidth="1"/>
    <col min="15" max="15" width="9.140625" style="34" bestFit="1" customWidth="1"/>
    <col min="16" max="17" width="9.140625" style="34"/>
    <col min="18" max="18" width="5.7109375" style="34" customWidth="1"/>
    <col min="19" max="19" width="10.140625" style="34" bestFit="1" customWidth="1"/>
    <col min="20" max="16384" width="9.140625" style="34"/>
  </cols>
  <sheetData>
    <row r="1" spans="1:17" x14ac:dyDescent="0.25">
      <c r="B1" s="99" t="s">
        <v>27</v>
      </c>
      <c r="C1" s="99"/>
      <c r="D1" s="99"/>
      <c r="E1" s="99"/>
      <c r="F1" s="99"/>
      <c r="G1" s="99"/>
      <c r="H1" s="99"/>
      <c r="I1" s="99"/>
      <c r="J1" s="99"/>
      <c r="K1" s="99"/>
      <c r="L1" s="99"/>
      <c r="M1" s="99"/>
      <c r="N1" s="99"/>
    </row>
    <row r="2" spans="1:17" x14ac:dyDescent="0.25">
      <c r="B2" s="99" t="s">
        <v>172</v>
      </c>
      <c r="C2" s="99"/>
      <c r="D2" s="99"/>
      <c r="E2" s="99"/>
      <c r="F2" s="99"/>
      <c r="G2" s="99"/>
      <c r="H2" s="99"/>
      <c r="I2" s="99"/>
      <c r="J2" s="99"/>
      <c r="K2" s="99"/>
      <c r="L2" s="99"/>
      <c r="M2" s="99"/>
      <c r="N2" s="99"/>
    </row>
    <row r="4" spans="1:17" x14ac:dyDescent="0.25">
      <c r="B4" s="100"/>
      <c r="C4" s="42" t="s">
        <v>508</v>
      </c>
      <c r="D4" s="42" t="s">
        <v>509</v>
      </c>
      <c r="E4" s="42" t="s">
        <v>510</v>
      </c>
      <c r="F4" s="42" t="s">
        <v>511</v>
      </c>
      <c r="G4" s="88" t="s">
        <v>512</v>
      </c>
      <c r="H4" s="56" t="s">
        <v>513</v>
      </c>
      <c r="I4" s="42" t="s">
        <v>514</v>
      </c>
      <c r="J4" s="88" t="s">
        <v>515</v>
      </c>
      <c r="K4" s="56" t="s">
        <v>547</v>
      </c>
      <c r="L4" s="56" t="s">
        <v>548</v>
      </c>
      <c r="M4" s="56" t="s">
        <v>549</v>
      </c>
      <c r="N4" s="56" t="s">
        <v>643</v>
      </c>
      <c r="O4" s="56" t="s">
        <v>644</v>
      </c>
    </row>
    <row r="5" spans="1:17" x14ac:dyDescent="0.25">
      <c r="B5" s="100"/>
      <c r="C5" s="101" t="s">
        <v>0</v>
      </c>
      <c r="D5" s="101" t="s">
        <v>531</v>
      </c>
      <c r="E5" s="101" t="s">
        <v>532</v>
      </c>
      <c r="F5" s="101" t="s">
        <v>533</v>
      </c>
      <c r="G5" s="101" t="s">
        <v>534</v>
      </c>
      <c r="H5" s="101" t="s">
        <v>535</v>
      </c>
      <c r="I5" s="101" t="s">
        <v>536</v>
      </c>
      <c r="J5" s="102" t="s">
        <v>0</v>
      </c>
      <c r="K5" s="56" t="s">
        <v>537</v>
      </c>
      <c r="L5" s="56" t="s">
        <v>538</v>
      </c>
      <c r="M5" s="56" t="s">
        <v>539</v>
      </c>
      <c r="N5" s="56" t="s">
        <v>540</v>
      </c>
      <c r="Q5" s="34" t="s">
        <v>750</v>
      </c>
    </row>
    <row r="6" spans="1:17" x14ac:dyDescent="0.2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25">
      <c r="A7" s="34">
        <v>1</v>
      </c>
      <c r="B7" s="59" t="s">
        <v>169</v>
      </c>
      <c r="C7" s="148">
        <f>D7+E7</f>
        <v>11</v>
      </c>
      <c r="D7" s="148">
        <f>F7+G7</f>
        <v>11</v>
      </c>
      <c r="E7" s="148">
        <f>I7+H7</f>
        <v>0</v>
      </c>
      <c r="F7" s="157">
        <v>11</v>
      </c>
      <c r="G7" s="157">
        <v>0</v>
      </c>
      <c r="H7" s="157"/>
      <c r="I7" s="157"/>
      <c r="J7" s="56">
        <f>SUM(F7:I7)</f>
        <v>11</v>
      </c>
      <c r="K7" s="104">
        <f>IFERROR(H7/$H$24,0)</f>
        <v>0</v>
      </c>
      <c r="L7" s="104">
        <f>IFERROR(I7/$I$24,0)</f>
        <v>0</v>
      </c>
      <c r="M7" s="104">
        <f>IFERROR(E7/$C$24,0)</f>
        <v>0</v>
      </c>
      <c r="N7" s="104">
        <f>IFERROR(E7/$E$24,0)</f>
        <v>0</v>
      </c>
    </row>
    <row r="8" spans="1:17" x14ac:dyDescent="0.25">
      <c r="A8" s="34">
        <f>+A7+1</f>
        <v>2</v>
      </c>
      <c r="B8" s="59" t="s">
        <v>22</v>
      </c>
      <c r="C8" s="148">
        <f t="shared" ref="C8:C23" si="0">D8+E8</f>
        <v>35</v>
      </c>
      <c r="D8" s="148">
        <f t="shared" ref="D8:D23" si="1">F8+G8</f>
        <v>29</v>
      </c>
      <c r="E8" s="148">
        <f t="shared" ref="E8:E23" si="2">I8+H8</f>
        <v>6</v>
      </c>
      <c r="F8" s="157">
        <v>2</v>
      </c>
      <c r="G8" s="157">
        <v>27</v>
      </c>
      <c r="H8" s="157">
        <v>1</v>
      </c>
      <c r="I8" s="157">
        <v>5</v>
      </c>
      <c r="J8" s="56">
        <f>SUM(F8:I8)</f>
        <v>35</v>
      </c>
      <c r="K8" s="104">
        <f t="shared" ref="K8:K23" si="3">IFERROR(H8/$H$24,0)</f>
        <v>4.5454545454545456E-2</v>
      </c>
      <c r="L8" s="104">
        <f t="shared" ref="L8:L23" si="4">IFERROR(I8/$I$24,0)</f>
        <v>0.13157894736842105</v>
      </c>
      <c r="M8" s="104">
        <f t="shared" ref="M8:M23" si="5">IFERROR(E8/$C$24,0)</f>
        <v>1.5748031496062992E-2</v>
      </c>
      <c r="N8" s="104">
        <f t="shared" ref="N8:N23" si="6">IFERROR(E8/$E$24,0)</f>
        <v>0.1</v>
      </c>
    </row>
    <row r="9" spans="1:17" x14ac:dyDescent="0.25">
      <c r="A9" s="34">
        <f t="shared" ref="A9:A22" si="7">+A8+1</f>
        <v>3</v>
      </c>
      <c r="B9" s="59" t="s">
        <v>21</v>
      </c>
      <c r="C9" s="148">
        <f t="shared" si="0"/>
        <v>16</v>
      </c>
      <c r="D9" s="148">
        <f t="shared" si="1"/>
        <v>12</v>
      </c>
      <c r="E9" s="148">
        <f t="shared" si="2"/>
        <v>4</v>
      </c>
      <c r="F9" s="157">
        <v>0</v>
      </c>
      <c r="G9" s="157">
        <v>12</v>
      </c>
      <c r="H9" s="157"/>
      <c r="I9" s="157">
        <v>4</v>
      </c>
      <c r="J9" s="56">
        <f>SUM(F9:I9)</f>
        <v>16</v>
      </c>
      <c r="K9" s="104">
        <f t="shared" si="3"/>
        <v>0</v>
      </c>
      <c r="L9" s="104">
        <f t="shared" si="4"/>
        <v>0.10526315789473684</v>
      </c>
      <c r="M9" s="104">
        <f t="shared" si="5"/>
        <v>1.0498687664041995E-2</v>
      </c>
      <c r="N9" s="104">
        <f t="shared" si="6"/>
        <v>6.6666666666666666E-2</v>
      </c>
    </row>
    <row r="10" spans="1:17" x14ac:dyDescent="0.25">
      <c r="A10" s="34">
        <f t="shared" si="7"/>
        <v>4</v>
      </c>
      <c r="B10" s="59" t="s">
        <v>20</v>
      </c>
      <c r="C10" s="148">
        <f t="shared" si="0"/>
        <v>37</v>
      </c>
      <c r="D10" s="148">
        <f t="shared" si="1"/>
        <v>24</v>
      </c>
      <c r="E10" s="148">
        <f t="shared" si="2"/>
        <v>13</v>
      </c>
      <c r="F10" s="157">
        <v>0</v>
      </c>
      <c r="G10" s="157">
        <v>24</v>
      </c>
      <c r="H10" s="157"/>
      <c r="I10" s="157">
        <v>13</v>
      </c>
      <c r="J10" s="56">
        <f>SUM(F10:I10)</f>
        <v>37</v>
      </c>
      <c r="K10" s="104">
        <f t="shared" si="3"/>
        <v>0</v>
      </c>
      <c r="L10" s="104">
        <f t="shared" si="4"/>
        <v>0.34210526315789475</v>
      </c>
      <c r="M10" s="104">
        <f t="shared" si="5"/>
        <v>3.4120734908136482E-2</v>
      </c>
      <c r="N10" s="104">
        <f t="shared" si="6"/>
        <v>0.21666666666666667</v>
      </c>
    </row>
    <row r="11" spans="1:17" x14ac:dyDescent="0.25">
      <c r="A11" s="34">
        <f t="shared" si="7"/>
        <v>5</v>
      </c>
      <c r="B11" s="59" t="s">
        <v>170</v>
      </c>
      <c r="C11" s="148">
        <f t="shared" si="0"/>
        <v>26</v>
      </c>
      <c r="D11" s="148">
        <f t="shared" si="1"/>
        <v>26</v>
      </c>
      <c r="E11" s="148">
        <f t="shared" si="2"/>
        <v>0</v>
      </c>
      <c r="F11" s="157">
        <v>21</v>
      </c>
      <c r="G11" s="157">
        <v>5</v>
      </c>
      <c r="H11" s="157"/>
      <c r="I11" s="157"/>
      <c r="J11" s="56">
        <f t="shared" ref="J11:J23" si="8">SUM(F11:I11)</f>
        <v>26</v>
      </c>
      <c r="K11" s="104">
        <f t="shared" si="3"/>
        <v>0</v>
      </c>
      <c r="L11" s="104">
        <f t="shared" si="4"/>
        <v>0</v>
      </c>
      <c r="M11" s="104">
        <f t="shared" si="5"/>
        <v>0</v>
      </c>
      <c r="N11" s="104">
        <f t="shared" si="6"/>
        <v>0</v>
      </c>
    </row>
    <row r="12" spans="1:17" x14ac:dyDescent="0.25">
      <c r="A12" s="34">
        <f t="shared" si="7"/>
        <v>6</v>
      </c>
      <c r="B12" s="59" t="s">
        <v>19</v>
      </c>
      <c r="C12" s="148">
        <f t="shared" si="0"/>
        <v>11</v>
      </c>
      <c r="D12" s="148">
        <f t="shared" si="1"/>
        <v>6</v>
      </c>
      <c r="E12" s="148">
        <f t="shared" si="2"/>
        <v>5</v>
      </c>
      <c r="F12" s="157">
        <v>4</v>
      </c>
      <c r="G12" s="157">
        <v>2</v>
      </c>
      <c r="H12" s="157">
        <v>5</v>
      </c>
      <c r="I12" s="157"/>
      <c r="J12" s="56">
        <f t="shared" si="8"/>
        <v>11</v>
      </c>
      <c r="K12" s="104">
        <f t="shared" si="3"/>
        <v>0.22727272727272727</v>
      </c>
      <c r="L12" s="104">
        <f t="shared" si="4"/>
        <v>0</v>
      </c>
      <c r="M12" s="104">
        <f t="shared" si="5"/>
        <v>1.3123359580052493E-2</v>
      </c>
      <c r="N12" s="104">
        <f t="shared" si="6"/>
        <v>8.3333333333333329E-2</v>
      </c>
    </row>
    <row r="13" spans="1:17" x14ac:dyDescent="0.25">
      <c r="A13" s="34">
        <f t="shared" si="7"/>
        <v>7</v>
      </c>
      <c r="B13" s="59" t="s">
        <v>235</v>
      </c>
      <c r="C13" s="148">
        <f t="shared" si="0"/>
        <v>18</v>
      </c>
      <c r="D13" s="148">
        <f t="shared" si="1"/>
        <v>18</v>
      </c>
      <c r="E13" s="148">
        <f t="shared" si="2"/>
        <v>0</v>
      </c>
      <c r="F13" s="157">
        <v>18</v>
      </c>
      <c r="G13" s="157">
        <v>0</v>
      </c>
      <c r="H13" s="157"/>
      <c r="I13" s="157"/>
      <c r="J13" s="56">
        <f t="shared" si="8"/>
        <v>18</v>
      </c>
      <c r="K13" s="104">
        <f t="shared" si="3"/>
        <v>0</v>
      </c>
      <c r="L13" s="104">
        <f t="shared" si="4"/>
        <v>0</v>
      </c>
      <c r="M13" s="104">
        <f t="shared" si="5"/>
        <v>0</v>
      </c>
      <c r="N13" s="104">
        <f t="shared" si="6"/>
        <v>0</v>
      </c>
    </row>
    <row r="14" spans="1:17" x14ac:dyDescent="0.25">
      <c r="A14" s="34">
        <f t="shared" si="7"/>
        <v>8</v>
      </c>
      <c r="B14" s="59" t="s">
        <v>516</v>
      </c>
      <c r="C14" s="148">
        <f t="shared" si="0"/>
        <v>35</v>
      </c>
      <c r="D14" s="148">
        <f t="shared" si="1"/>
        <v>35</v>
      </c>
      <c r="E14" s="148">
        <f t="shared" si="2"/>
        <v>0</v>
      </c>
      <c r="F14" s="157">
        <v>23</v>
      </c>
      <c r="G14" s="157">
        <v>12</v>
      </c>
      <c r="H14" s="157"/>
      <c r="I14" s="157"/>
      <c r="J14" s="56">
        <f t="shared" si="8"/>
        <v>35</v>
      </c>
      <c r="K14" s="104">
        <f t="shared" si="3"/>
        <v>0</v>
      </c>
      <c r="L14" s="104">
        <f t="shared" si="4"/>
        <v>0</v>
      </c>
      <c r="M14" s="104">
        <f t="shared" si="5"/>
        <v>0</v>
      </c>
      <c r="N14" s="104">
        <f t="shared" si="6"/>
        <v>0</v>
      </c>
    </row>
    <row r="15" spans="1:17" x14ac:dyDescent="0.25">
      <c r="A15" s="34">
        <f t="shared" si="7"/>
        <v>9</v>
      </c>
      <c r="B15" s="59" t="s">
        <v>521</v>
      </c>
      <c r="C15" s="148">
        <f t="shared" si="0"/>
        <v>42</v>
      </c>
      <c r="D15" s="148">
        <f t="shared" si="1"/>
        <v>42</v>
      </c>
      <c r="E15" s="148">
        <f t="shared" si="2"/>
        <v>0</v>
      </c>
      <c r="F15" s="158">
        <v>31</v>
      </c>
      <c r="G15" s="158">
        <v>11</v>
      </c>
      <c r="H15" s="157"/>
      <c r="I15" s="157"/>
      <c r="J15" s="94">
        <f>SUM(F15:I15)</f>
        <v>42</v>
      </c>
      <c r="K15" s="104">
        <f t="shared" si="3"/>
        <v>0</v>
      </c>
      <c r="L15" s="104">
        <f t="shared" si="4"/>
        <v>0</v>
      </c>
      <c r="M15" s="104">
        <f t="shared" si="5"/>
        <v>0</v>
      </c>
      <c r="N15" s="104">
        <f t="shared" si="6"/>
        <v>0</v>
      </c>
    </row>
    <row r="16" spans="1:17" x14ac:dyDescent="0.25">
      <c r="A16" s="34">
        <f t="shared" si="7"/>
        <v>10</v>
      </c>
      <c r="B16" s="59" t="s">
        <v>517</v>
      </c>
      <c r="C16" s="148">
        <f t="shared" si="0"/>
        <v>10</v>
      </c>
      <c r="D16" s="148">
        <f t="shared" si="1"/>
        <v>10</v>
      </c>
      <c r="E16" s="148">
        <f t="shared" si="2"/>
        <v>0</v>
      </c>
      <c r="F16" s="157">
        <v>10</v>
      </c>
      <c r="G16" s="157">
        <v>0</v>
      </c>
      <c r="H16" s="157"/>
      <c r="I16" s="157"/>
      <c r="J16" s="56">
        <f t="shared" si="8"/>
        <v>10</v>
      </c>
      <c r="K16" s="104">
        <f t="shared" si="3"/>
        <v>0</v>
      </c>
      <c r="L16" s="104">
        <f t="shared" si="4"/>
        <v>0</v>
      </c>
      <c r="M16" s="104">
        <f t="shared" si="5"/>
        <v>0</v>
      </c>
      <c r="N16" s="104">
        <f t="shared" si="6"/>
        <v>0</v>
      </c>
    </row>
    <row r="17" spans="1:15" x14ac:dyDescent="0.25">
      <c r="A17" s="34">
        <f t="shared" si="7"/>
        <v>11</v>
      </c>
      <c r="B17" s="59" t="s">
        <v>518</v>
      </c>
      <c r="C17" s="148">
        <f t="shared" si="0"/>
        <v>18</v>
      </c>
      <c r="D17" s="148">
        <f t="shared" si="1"/>
        <v>18</v>
      </c>
      <c r="E17" s="148">
        <f t="shared" si="2"/>
        <v>0</v>
      </c>
      <c r="F17" s="157">
        <v>18</v>
      </c>
      <c r="G17" s="157">
        <v>0</v>
      </c>
      <c r="H17" s="157"/>
      <c r="I17" s="157"/>
      <c r="J17" s="56">
        <f t="shared" si="8"/>
        <v>18</v>
      </c>
      <c r="K17" s="104">
        <f t="shared" si="3"/>
        <v>0</v>
      </c>
      <c r="L17" s="104">
        <f t="shared" si="4"/>
        <v>0</v>
      </c>
      <c r="M17" s="104">
        <f t="shared" si="5"/>
        <v>0</v>
      </c>
      <c r="N17" s="104">
        <f t="shared" si="6"/>
        <v>0</v>
      </c>
    </row>
    <row r="18" spans="1:15" x14ac:dyDescent="0.25">
      <c r="A18" s="34">
        <f t="shared" si="7"/>
        <v>12</v>
      </c>
      <c r="B18" s="59" t="s">
        <v>36</v>
      </c>
      <c r="C18" s="148">
        <f t="shared" si="0"/>
        <v>25</v>
      </c>
      <c r="D18" s="148">
        <f t="shared" si="1"/>
        <v>9</v>
      </c>
      <c r="E18" s="148">
        <f t="shared" si="2"/>
        <v>16</v>
      </c>
      <c r="F18" s="157">
        <v>9</v>
      </c>
      <c r="G18" s="157">
        <v>0</v>
      </c>
      <c r="H18" s="157">
        <v>16</v>
      </c>
      <c r="I18" s="157"/>
      <c r="J18" s="56">
        <f t="shared" si="8"/>
        <v>25</v>
      </c>
      <c r="K18" s="104">
        <f t="shared" si="3"/>
        <v>0.72727272727272729</v>
      </c>
      <c r="L18" s="104">
        <f t="shared" si="4"/>
        <v>0</v>
      </c>
      <c r="M18" s="104">
        <f t="shared" si="5"/>
        <v>4.1994750656167978E-2</v>
      </c>
      <c r="N18" s="104">
        <f t="shared" si="6"/>
        <v>0.26666666666666666</v>
      </c>
    </row>
    <row r="19" spans="1:15" x14ac:dyDescent="0.25">
      <c r="A19" s="34">
        <f t="shared" si="7"/>
        <v>13</v>
      </c>
      <c r="B19" s="59" t="s">
        <v>519</v>
      </c>
      <c r="C19" s="148">
        <f t="shared" si="0"/>
        <v>4</v>
      </c>
      <c r="D19" s="148">
        <f t="shared" si="1"/>
        <v>4</v>
      </c>
      <c r="E19" s="148">
        <f t="shared" si="2"/>
        <v>0</v>
      </c>
      <c r="F19" s="157">
        <v>2</v>
      </c>
      <c r="G19" s="157">
        <v>2</v>
      </c>
      <c r="H19" s="157"/>
      <c r="I19" s="157"/>
      <c r="J19" s="56">
        <f t="shared" si="8"/>
        <v>4</v>
      </c>
      <c r="K19" s="104">
        <f t="shared" si="3"/>
        <v>0</v>
      </c>
      <c r="L19" s="104">
        <f t="shared" si="4"/>
        <v>0</v>
      </c>
      <c r="M19" s="104">
        <f t="shared" si="5"/>
        <v>0</v>
      </c>
      <c r="N19" s="104">
        <f t="shared" si="6"/>
        <v>0</v>
      </c>
    </row>
    <row r="20" spans="1:15" x14ac:dyDescent="0.25">
      <c r="A20" s="34">
        <f t="shared" si="7"/>
        <v>14</v>
      </c>
      <c r="B20" s="59" t="s">
        <v>171</v>
      </c>
      <c r="C20" s="148">
        <f t="shared" si="0"/>
        <v>39</v>
      </c>
      <c r="D20" s="148">
        <f t="shared" si="1"/>
        <v>39</v>
      </c>
      <c r="E20" s="148">
        <f t="shared" si="2"/>
        <v>0</v>
      </c>
      <c r="F20" s="157">
        <v>0</v>
      </c>
      <c r="G20" s="157">
        <v>39</v>
      </c>
      <c r="H20" s="157"/>
      <c r="I20" s="157"/>
      <c r="J20" s="56">
        <f>SUM(F20:I20)</f>
        <v>39</v>
      </c>
      <c r="K20" s="104">
        <f t="shared" si="3"/>
        <v>0</v>
      </c>
      <c r="L20" s="104">
        <f t="shared" si="4"/>
        <v>0</v>
      </c>
      <c r="M20" s="104">
        <f t="shared" si="5"/>
        <v>0</v>
      </c>
      <c r="N20" s="104">
        <f t="shared" si="6"/>
        <v>0</v>
      </c>
    </row>
    <row r="21" spans="1:15" x14ac:dyDescent="0.25">
      <c r="A21" s="34">
        <f t="shared" si="7"/>
        <v>15</v>
      </c>
      <c r="B21" s="59" t="s">
        <v>506</v>
      </c>
      <c r="C21" s="148">
        <f t="shared" si="0"/>
        <v>42</v>
      </c>
      <c r="D21" s="148">
        <f t="shared" si="1"/>
        <v>26</v>
      </c>
      <c r="E21" s="148">
        <f t="shared" si="2"/>
        <v>16</v>
      </c>
      <c r="F21" s="157">
        <v>0</v>
      </c>
      <c r="G21" s="157">
        <v>26</v>
      </c>
      <c r="H21" s="157"/>
      <c r="I21" s="157">
        <v>16</v>
      </c>
      <c r="J21" s="56">
        <f>SUM(F21:I21)</f>
        <v>42</v>
      </c>
      <c r="K21" s="104">
        <f t="shared" si="3"/>
        <v>0</v>
      </c>
      <c r="L21" s="104">
        <f t="shared" si="4"/>
        <v>0.42105263157894735</v>
      </c>
      <c r="M21" s="104">
        <f t="shared" si="5"/>
        <v>4.1994750656167978E-2</v>
      </c>
      <c r="N21" s="104">
        <f t="shared" si="6"/>
        <v>0.26666666666666666</v>
      </c>
    </row>
    <row r="22" spans="1:15" x14ac:dyDescent="0.25">
      <c r="A22" s="34">
        <f t="shared" si="7"/>
        <v>16</v>
      </c>
      <c r="B22" s="59" t="s">
        <v>520</v>
      </c>
      <c r="C22" s="148">
        <f t="shared" si="0"/>
        <v>12</v>
      </c>
      <c r="D22" s="148">
        <f t="shared" si="1"/>
        <v>12</v>
      </c>
      <c r="E22" s="148">
        <f t="shared" si="2"/>
        <v>0</v>
      </c>
      <c r="F22" s="157">
        <v>12</v>
      </c>
      <c r="G22" s="157">
        <v>0</v>
      </c>
      <c r="H22" s="157"/>
      <c r="I22" s="157"/>
      <c r="J22" s="56">
        <f t="shared" si="8"/>
        <v>12</v>
      </c>
      <c r="K22" s="104">
        <f t="shared" si="3"/>
        <v>0</v>
      </c>
      <c r="L22" s="104">
        <f t="shared" si="4"/>
        <v>0</v>
      </c>
      <c r="M22" s="104">
        <f t="shared" si="5"/>
        <v>0</v>
      </c>
      <c r="N22" s="104">
        <f t="shared" si="6"/>
        <v>0</v>
      </c>
    </row>
    <row r="23" spans="1:15" x14ac:dyDescent="0.25">
      <c r="A23" s="34">
        <f>+A22+1</f>
        <v>17</v>
      </c>
      <c r="B23" s="59" t="s">
        <v>752</v>
      </c>
      <c r="C23" s="58">
        <f t="shared" si="0"/>
        <v>0</v>
      </c>
      <c r="D23" s="58">
        <f t="shared" si="1"/>
        <v>0</v>
      </c>
      <c r="E23" s="58">
        <f t="shared" si="2"/>
        <v>0</v>
      </c>
      <c r="F23" s="159"/>
      <c r="G23" s="159"/>
      <c r="H23" s="159"/>
      <c r="I23" s="159"/>
      <c r="J23" s="58">
        <f t="shared" si="8"/>
        <v>0</v>
      </c>
      <c r="K23" s="105">
        <f t="shared" si="3"/>
        <v>0</v>
      </c>
      <c r="L23" s="105">
        <f t="shared" si="4"/>
        <v>0</v>
      </c>
      <c r="M23" s="105">
        <f t="shared" si="5"/>
        <v>0</v>
      </c>
      <c r="N23" s="105">
        <f t="shared" si="6"/>
        <v>0</v>
      </c>
    </row>
    <row r="24" spans="1:15" x14ac:dyDescent="0.25">
      <c r="A24" s="34">
        <f t="shared" ref="A24:A34" si="9">+A23+1</f>
        <v>18</v>
      </c>
      <c r="B24" s="59" t="s">
        <v>0</v>
      </c>
      <c r="C24" s="56">
        <f t="shared" ref="C24:N24" si="10">SUM(C7:C23)</f>
        <v>381</v>
      </c>
      <c r="D24" s="56">
        <f t="shared" si="10"/>
        <v>321</v>
      </c>
      <c r="E24" s="56">
        <f t="shared" si="10"/>
        <v>60</v>
      </c>
      <c r="F24" s="56">
        <f t="shared" si="10"/>
        <v>161</v>
      </c>
      <c r="G24" s="56">
        <f t="shared" si="10"/>
        <v>160</v>
      </c>
      <c r="H24" s="56">
        <f t="shared" si="10"/>
        <v>22</v>
      </c>
      <c r="I24" s="56">
        <f t="shared" si="10"/>
        <v>38</v>
      </c>
      <c r="J24" s="56">
        <f t="shared" si="10"/>
        <v>381</v>
      </c>
      <c r="K24" s="104">
        <f t="shared" si="10"/>
        <v>1</v>
      </c>
      <c r="L24" s="104">
        <f t="shared" si="10"/>
        <v>1</v>
      </c>
      <c r="M24" s="104">
        <f t="shared" si="10"/>
        <v>0.15748031496062992</v>
      </c>
      <c r="N24" s="104">
        <f t="shared" si="10"/>
        <v>1</v>
      </c>
    </row>
    <row r="25" spans="1:15" x14ac:dyDescent="0.25">
      <c r="A25" s="34">
        <f t="shared" si="9"/>
        <v>19</v>
      </c>
      <c r="B25" s="59"/>
      <c r="C25" s="56"/>
      <c r="D25" s="104">
        <f>IFERROR(D24/$C$24,0)</f>
        <v>0.84251968503937003</v>
      </c>
      <c r="E25" s="104">
        <f t="shared" ref="E25:G25" si="11">IFERROR(E24/$C$24,0)</f>
        <v>0.15748031496062992</v>
      </c>
      <c r="F25" s="104">
        <f t="shared" si="11"/>
        <v>0.4225721784776903</v>
      </c>
      <c r="G25" s="104">
        <f t="shared" si="11"/>
        <v>0.41994750656167978</v>
      </c>
      <c r="H25" s="104">
        <f>IFERROR(H24/$E$24,0)</f>
        <v>0.36666666666666664</v>
      </c>
      <c r="I25" s="104">
        <f>IFERROR(I24/$E$24,0)</f>
        <v>0.6333333333333333</v>
      </c>
      <c r="J25" s="56"/>
      <c r="K25" s="104"/>
      <c r="L25" s="104"/>
      <c r="M25" s="104"/>
      <c r="N25" s="104"/>
    </row>
    <row r="26" spans="1:15" x14ac:dyDescent="0.25">
      <c r="A26" s="34">
        <f t="shared" si="9"/>
        <v>20</v>
      </c>
      <c r="B26" s="59"/>
      <c r="C26" s="104"/>
      <c r="D26" s="104"/>
      <c r="E26" s="104"/>
      <c r="F26" s="104"/>
      <c r="G26" s="104"/>
      <c r="H26" s="104"/>
      <c r="I26" s="56"/>
      <c r="J26" s="56"/>
      <c r="K26" s="104"/>
      <c r="L26" s="104"/>
      <c r="M26" s="104"/>
      <c r="N26" s="104"/>
    </row>
    <row r="27" spans="1:15" x14ac:dyDescent="0.25">
      <c r="A27" s="34">
        <f t="shared" si="9"/>
        <v>21</v>
      </c>
      <c r="B27" s="59"/>
      <c r="C27" s="178" t="s">
        <v>527</v>
      </c>
      <c r="D27" s="178"/>
      <c r="E27" s="178" t="s">
        <v>22</v>
      </c>
      <c r="F27" s="178"/>
      <c r="G27" s="178" t="s">
        <v>19</v>
      </c>
      <c r="H27" s="178"/>
      <c r="I27" s="178" t="s">
        <v>36</v>
      </c>
      <c r="J27" s="178"/>
      <c r="K27" s="178" t="s">
        <v>752</v>
      </c>
      <c r="L27" s="178"/>
      <c r="M27" s="178" t="s">
        <v>0</v>
      </c>
      <c r="N27" s="178"/>
      <c r="O27" s="89"/>
    </row>
    <row r="28" spans="1:15" x14ac:dyDescent="0.25">
      <c r="A28" s="34">
        <f t="shared" si="9"/>
        <v>22</v>
      </c>
      <c r="B28" s="59"/>
      <c r="C28" s="183" t="s">
        <v>541</v>
      </c>
      <c r="D28" s="183"/>
      <c r="E28" s="183" t="s">
        <v>541</v>
      </c>
      <c r="F28" s="183"/>
      <c r="G28" s="183" t="s">
        <v>541</v>
      </c>
      <c r="H28" s="183"/>
      <c r="I28" s="183" t="s">
        <v>541</v>
      </c>
      <c r="J28" s="183"/>
      <c r="K28" s="183" t="s">
        <v>541</v>
      </c>
      <c r="L28" s="183"/>
      <c r="M28" s="183" t="s">
        <v>528</v>
      </c>
      <c r="N28" s="183"/>
      <c r="O28" s="106"/>
    </row>
    <row r="29" spans="1:15" x14ac:dyDescent="0.2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2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25">
      <c r="A31" s="34">
        <f t="shared" si="9"/>
        <v>25</v>
      </c>
      <c r="B31" s="59" t="s">
        <v>172</v>
      </c>
      <c r="C31" s="56">
        <f>+F24+H24-E31-G31-I31-K31</f>
        <v>161</v>
      </c>
      <c r="D31" s="56">
        <f>+G24+I24-F31-H31-J31-L31</f>
        <v>193</v>
      </c>
      <c r="E31" s="56">
        <f>+H8</f>
        <v>1</v>
      </c>
      <c r="F31" s="56">
        <f>+I8</f>
        <v>5</v>
      </c>
      <c r="G31" s="56">
        <f>+H12</f>
        <v>5</v>
      </c>
      <c r="H31" s="56">
        <f>+I12</f>
        <v>0</v>
      </c>
      <c r="I31" s="56">
        <f>+H18</f>
        <v>16</v>
      </c>
      <c r="J31" s="56">
        <f>+I18</f>
        <v>0</v>
      </c>
      <c r="K31" s="56">
        <f>+H23</f>
        <v>0</v>
      </c>
      <c r="L31" s="56">
        <f>+I23</f>
        <v>0</v>
      </c>
      <c r="M31" s="56">
        <f>+K31+I31+G31+E31+C31</f>
        <v>183</v>
      </c>
      <c r="N31" s="56">
        <f>+L31+J31+H31+F31+D31</f>
        <v>198</v>
      </c>
      <c r="O31" s="56">
        <f>+N31+M31</f>
        <v>381</v>
      </c>
    </row>
    <row r="32" spans="1:15" x14ac:dyDescent="0.25">
      <c r="A32" s="34">
        <f t="shared" si="9"/>
        <v>26</v>
      </c>
      <c r="B32" s="59" t="s">
        <v>529</v>
      </c>
      <c r="C32" s="104">
        <f>IFERROR(C31/$O$31,0)</f>
        <v>0.4225721784776903</v>
      </c>
      <c r="D32" s="104">
        <f t="shared" ref="D32:O32" si="12">IFERROR(D31/$O$31,0)</f>
        <v>0.5065616797900262</v>
      </c>
      <c r="E32" s="104">
        <f>IFERROR(E31/$O$31,0)</f>
        <v>2.6246719160104987E-3</v>
      </c>
      <c r="F32" s="104">
        <f t="shared" si="12"/>
        <v>1.3123359580052493E-2</v>
      </c>
      <c r="G32" s="104">
        <f t="shared" si="12"/>
        <v>1.3123359580052493E-2</v>
      </c>
      <c r="H32" s="104">
        <f t="shared" si="12"/>
        <v>0</v>
      </c>
      <c r="I32" s="104">
        <f t="shared" si="12"/>
        <v>4.1994750656167978E-2</v>
      </c>
      <c r="J32" s="104">
        <f t="shared" si="12"/>
        <v>0</v>
      </c>
      <c r="K32" s="104">
        <f t="shared" si="12"/>
        <v>0</v>
      </c>
      <c r="L32" s="104">
        <f t="shared" si="12"/>
        <v>0</v>
      </c>
      <c r="M32" s="104">
        <f t="shared" si="12"/>
        <v>0.48031496062992124</v>
      </c>
      <c r="N32" s="104">
        <f t="shared" si="12"/>
        <v>0.51968503937007871</v>
      </c>
      <c r="O32" s="104">
        <f t="shared" si="12"/>
        <v>1</v>
      </c>
    </row>
    <row r="33" spans="1:12" x14ac:dyDescent="0.25">
      <c r="A33" s="34">
        <f t="shared" si="9"/>
        <v>27</v>
      </c>
      <c r="B33" s="59"/>
      <c r="C33" s="104"/>
      <c r="D33" s="104"/>
      <c r="E33" s="104"/>
      <c r="F33" s="104"/>
      <c r="G33" s="104"/>
      <c r="H33" s="104"/>
      <c r="I33" s="56"/>
      <c r="J33" s="56"/>
      <c r="K33" s="104"/>
      <c r="L33" s="104"/>
    </row>
    <row r="34" spans="1:12" x14ac:dyDescent="0.25">
      <c r="A34" s="34">
        <f t="shared" si="9"/>
        <v>28</v>
      </c>
      <c r="B34" s="59" t="s">
        <v>530</v>
      </c>
      <c r="C34" s="104">
        <f>IFERROR(+C31/($C$31+$D$31),0)</f>
        <v>0.45480225988700562</v>
      </c>
      <c r="D34" s="104">
        <f>IFERROR(+D31/($C$31+$D$31),0)</f>
        <v>0.54519774011299438</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25">
      <c r="A35" s="57" t="s">
        <v>240</v>
      </c>
    </row>
    <row r="39" spans="1:12" x14ac:dyDescent="0.25">
      <c r="G39" s="59"/>
    </row>
    <row r="40" spans="1:12" x14ac:dyDescent="0.25">
      <c r="G40" s="59"/>
    </row>
    <row r="41" spans="1:12" x14ac:dyDescent="0.25">
      <c r="G41" s="59"/>
    </row>
    <row r="42" spans="1:12" x14ac:dyDescent="0.25">
      <c r="G42" s="59"/>
    </row>
    <row r="43" spans="1:12" x14ac:dyDescent="0.25">
      <c r="G43" s="59"/>
    </row>
    <row r="44" spans="1:12" x14ac:dyDescent="0.25">
      <c r="G44" s="59"/>
    </row>
    <row r="45" spans="1:12" x14ac:dyDescent="0.25">
      <c r="G45" s="59"/>
    </row>
    <row r="46" spans="1:12" x14ac:dyDescent="0.25">
      <c r="G46" s="59"/>
    </row>
    <row r="47" spans="1:12" x14ac:dyDescent="0.25">
      <c r="G47" s="59"/>
    </row>
    <row r="48" spans="1:12" x14ac:dyDescent="0.25">
      <c r="G48" s="59"/>
    </row>
    <row r="49" spans="7:7" x14ac:dyDescent="0.25">
      <c r="G49" s="59"/>
    </row>
    <row r="50" spans="7:7" x14ac:dyDescent="0.25">
      <c r="G50" s="59"/>
    </row>
    <row r="51" spans="7:7" x14ac:dyDescent="0.25">
      <c r="G51" s="59"/>
    </row>
    <row r="52" spans="7:7" x14ac:dyDescent="0.25">
      <c r="G52" s="59"/>
    </row>
    <row r="53" spans="7:7" x14ac:dyDescent="0.25">
      <c r="G53" s="59"/>
    </row>
    <row r="54" spans="7:7" x14ac:dyDescent="0.25">
      <c r="G54" s="59"/>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Michael Johnson</cp:lastModifiedBy>
  <cp:lastPrinted>2018-05-31T15:16:45Z</cp:lastPrinted>
  <dcterms:created xsi:type="dcterms:W3CDTF">2011-05-27T16:38:22Z</dcterms:created>
  <dcterms:modified xsi:type="dcterms:W3CDTF">2022-05-31T15:20:18Z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