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3795" windowWidth="15405" windowHeight="3810" firstSheet="1" activeTab="4"/>
  </bookViews>
  <sheets>
    <sheet name="Cover" sheetId="14" r:id="rId1"/>
    <sheet name="Summary" sheetId="19" r:id="rId2"/>
    <sheet name="Form 1 Plant " sheetId="17" r:id="rId3"/>
    <sheet name="TransPlnt " sheetId="13" r:id="rId4"/>
    <sheet name="Form1Exp" sheetId="16" r:id="rId5"/>
    <sheet name="TransExp" sheetId="18" r:id="rId6"/>
    <sheet name="AF" sheetId="10" r:id="rId7"/>
    <sheet name="Usage" sheetId="12" r:id="rId8"/>
    <sheet name="Margin" sheetId="21" r:id="rId9"/>
    <sheet name="Debt" sheetId="20" r:id="rId10"/>
    <sheet name="Sub WP" sheetId="22" r:id="rId11"/>
    <sheet name="Delivery Pts" sheetId="24" r:id="rId12"/>
    <sheet name="Depreciation" sheetId="25" r:id="rId13"/>
  </sheets>
  <externalReferences>
    <externalReference r:id="rId14"/>
  </externalReferences>
  <definedNames>
    <definedName name="COMPANY">'[1]INPUTS - Accounts'!$B$1</definedName>
    <definedName name="COOP">#N/A</definedName>
    <definedName name="D_DISTOPX" localSheetId="6">'[1]Sched F4 Factors'!#REF!</definedName>
    <definedName name="D_DISTOPX" localSheetId="12">'[1]Sched F4 Factors'!#REF!</definedName>
    <definedName name="D_DISTOPX" localSheetId="2">'[1]Sched F4 Factors'!#REF!</definedName>
    <definedName name="D_DISTOPX" localSheetId="4">'[1]Sched F4 Factors'!#REF!</definedName>
    <definedName name="D_DISTOPX" localSheetId="5">'[1]Sched F4 Factors'!#REF!</definedName>
    <definedName name="D_DISTOPX" localSheetId="3">'[1]Sched F4 Factors'!#REF!</definedName>
    <definedName name="D_DISTOPX">'[1]Sched F4 Factors'!#REF!</definedName>
    <definedName name="D_GNLPLTN">'[1]Sched F3 NTP_Factor'!$G$35</definedName>
    <definedName name="D_MILE" localSheetId="6">'[1]Sched F4 Factors'!#REF!</definedName>
    <definedName name="D_MILE" localSheetId="12">'[1]Sched F4 Factors'!#REF!</definedName>
    <definedName name="D_MILE" localSheetId="2">'[1]Sched F4 Factors'!#REF!</definedName>
    <definedName name="D_MILE" localSheetId="4">'[1]Sched F4 Factors'!#REF!</definedName>
    <definedName name="D_MILE" localSheetId="5">'[1]Sched F4 Factors'!#REF!</definedName>
    <definedName name="D_MILE" localSheetId="3">'[1]Sched F4 Factors'!#REF!</definedName>
    <definedName name="D_MILE">'[1]Sched F4 Factors'!#REF!</definedName>
    <definedName name="D_PAYXAG">'[1]Sched F1 Payroll Factors'!$G$16</definedName>
    <definedName name="D_PLTSVCN">'[1]Sched F3 NTP_Factor'!$G$48</definedName>
    <definedName name="D_PLTXGNLN">'[1]Sched F3 NTP_Factor'!$G$29</definedName>
    <definedName name="D_SQFT" localSheetId="6">'[1]Sched F4 Factors'!#REF!</definedName>
    <definedName name="D_SQFT" localSheetId="12">'[1]Sched F4 Factors'!#REF!</definedName>
    <definedName name="D_SQFT" localSheetId="2">'[1]Sched F4 Factors'!#REF!</definedName>
    <definedName name="D_SQFT" localSheetId="4">'[1]Sched F4 Factors'!#REF!</definedName>
    <definedName name="D_SQFT" localSheetId="5">'[1]Sched F4 Factors'!#REF!</definedName>
    <definedName name="D_SQFT" localSheetId="3">'[1]Sched F4 Factors'!#REF!</definedName>
    <definedName name="D_SQFT">'[1]Sched F4 Factors'!#REF!</definedName>
    <definedName name="NAMES">#N/A</definedName>
    <definedName name="P_DISTOPX" localSheetId="6">'[1]Sched F4 Factors'!#REF!</definedName>
    <definedName name="P_DISTOPX" localSheetId="12">'[1]Sched F4 Factors'!#REF!</definedName>
    <definedName name="P_DISTOPX" localSheetId="2">'[1]Sched F4 Factors'!#REF!</definedName>
    <definedName name="P_DISTOPX" localSheetId="4">'[1]Sched F4 Factors'!#REF!</definedName>
    <definedName name="P_DISTOPX" localSheetId="5">'[1]Sched F4 Factors'!#REF!</definedName>
    <definedName name="P_DISTOPX" localSheetId="3">'[1]Sched F4 Factors'!#REF!</definedName>
    <definedName name="P_DISTOPX">'[1]Sched F4 Factors'!#REF!</definedName>
    <definedName name="P_GNLPLTN">'[1]Sched F3 NTP_Factor'!$D$35</definedName>
    <definedName name="P_MILE" localSheetId="6">'[1]Sched F4 Factors'!#REF!</definedName>
    <definedName name="P_MILE" localSheetId="12">'[1]Sched F4 Factors'!#REF!</definedName>
    <definedName name="P_MILE" localSheetId="2">'[1]Sched F4 Factors'!#REF!</definedName>
    <definedName name="P_MILE" localSheetId="4">'[1]Sched F4 Factors'!#REF!</definedName>
    <definedName name="P_MILE" localSheetId="5">'[1]Sched F4 Factors'!#REF!</definedName>
    <definedName name="P_MILE" localSheetId="3">'[1]Sched F4 Factors'!#REF!</definedName>
    <definedName name="P_MILE">'[1]Sched F4 Factors'!#REF!</definedName>
    <definedName name="P_PAYXAG">'[1]Sched F1 Payroll Factors'!$D$16</definedName>
    <definedName name="P_PLTSVCN">'[1]Sched F3 NTP_Factor'!$D$48</definedName>
    <definedName name="P_PLTXGNLN">'[1]Sched F3 NTP_Factor'!$D$29</definedName>
    <definedName name="P_SQFT" localSheetId="6">'[1]Sched F4 Factors'!#REF!</definedName>
    <definedName name="P_SQFT" localSheetId="12">'[1]Sched F4 Factors'!#REF!</definedName>
    <definedName name="P_SQFT" localSheetId="2">'[1]Sched F4 Factors'!#REF!</definedName>
    <definedName name="P_SQFT" localSheetId="4">'[1]Sched F4 Factors'!#REF!</definedName>
    <definedName name="P_SQFT" localSheetId="5">'[1]Sched F4 Factors'!#REF!</definedName>
    <definedName name="P_SQFT" localSheetId="3">'[1]Sched F4 Factors'!#REF!</definedName>
    <definedName name="P_SQFT">'[1]Sched F4 Factors'!#REF!</definedName>
    <definedName name="_xlnm.Print_Area" localSheetId="6">AF!$A$5:$J$68</definedName>
    <definedName name="_xlnm.Print_Area" localSheetId="12">Depreciation!$A$1:$C$16</definedName>
    <definedName name="_xlnm.Print_Area" localSheetId="4">Form1Exp!$A$9:$K$106</definedName>
    <definedName name="_xlnm.Print_Area" localSheetId="1">Summary!$A$1:$K$35</definedName>
    <definedName name="_xlnm.Print_Area" localSheetId="5">TransExp!$A$9:$K$100</definedName>
    <definedName name="_xlnm.Print_Area" localSheetId="3">'TransPlnt '!$A$10:$L$94</definedName>
    <definedName name="_xlnm.Print_Area" localSheetId="7">Usage!$A$8:$R$64</definedName>
    <definedName name="_xlnm.Print_Titles" localSheetId="6">AF!$1:$4</definedName>
    <definedName name="_xlnm.Print_Titles" localSheetId="4">Form1Exp!$1:$8</definedName>
    <definedName name="_xlnm.Print_Titles" localSheetId="5">TransExp!$1:$8</definedName>
    <definedName name="_xlnm.Print_Titles" localSheetId="3">'TransPlnt '!$1:$9</definedName>
    <definedName name="_xlnm.Print_Titles" localSheetId="7">Usage!$1:$7</definedName>
    <definedName name="T_DISTOPX" localSheetId="6">'[1]Sched F4 Factors'!#REF!</definedName>
    <definedName name="T_DISTOPX" localSheetId="12">'[1]Sched F4 Factors'!#REF!</definedName>
    <definedName name="T_DISTOPX" localSheetId="2">'[1]Sched F4 Factors'!#REF!</definedName>
    <definedName name="T_DISTOPX" localSheetId="4">'[1]Sched F4 Factors'!#REF!</definedName>
    <definedName name="T_DISTOPX" localSheetId="5">'[1]Sched F4 Factors'!#REF!</definedName>
    <definedName name="T_DISTOPX" localSheetId="3">'[1]Sched F4 Factors'!#REF!</definedName>
    <definedName name="T_DISTOPX">'[1]Sched F4 Factors'!#REF!</definedName>
    <definedName name="T_GNLPLTN">'[1]Sched F3 NTP_Factor'!$E$35</definedName>
    <definedName name="T_MILE" localSheetId="6">'[1]Sched F4 Factors'!#REF!</definedName>
    <definedName name="T_MILE" localSheetId="12">'[1]Sched F4 Factors'!#REF!</definedName>
    <definedName name="T_MILE" localSheetId="2">'[1]Sched F4 Factors'!#REF!</definedName>
    <definedName name="T_MILE" localSheetId="4">'[1]Sched F4 Factors'!#REF!</definedName>
    <definedName name="T_MILE" localSheetId="5">'[1]Sched F4 Factors'!#REF!</definedName>
    <definedName name="T_MILE" localSheetId="3">'[1]Sched F4 Factors'!#REF!</definedName>
    <definedName name="T_MILE">'[1]Sched F4 Factors'!#REF!</definedName>
    <definedName name="T_PAYXAG">'[1]Sched F1 Payroll Factors'!$E$16</definedName>
    <definedName name="T_PLTSVCN">'[1]Sched F3 NTP_Factor'!$E$48</definedName>
    <definedName name="T_PLTXGNLN">'[1]Sched F3 NTP_Factor'!$E$29</definedName>
    <definedName name="T_SQFT" localSheetId="6">'[1]Sched F4 Factors'!#REF!</definedName>
    <definedName name="T_SQFT" localSheetId="12">'[1]Sched F4 Factors'!#REF!</definedName>
    <definedName name="T_SQFT" localSheetId="2">'[1]Sched F4 Factors'!#REF!</definedName>
    <definedName name="T_SQFT" localSheetId="4">'[1]Sched F4 Factors'!#REF!</definedName>
    <definedName name="T_SQFT" localSheetId="5">'[1]Sched F4 Factors'!#REF!</definedName>
    <definedName name="T_SQFT" localSheetId="3">'[1]Sched F4 Factors'!#REF!</definedName>
    <definedName name="T_SQFT">'[1]Sched F4 Factors'!#REF!</definedName>
    <definedName name="Test_Year">'[1]INPUTS - Other'!$C$4</definedName>
    <definedName name="TESTYEAR">#N/A</definedName>
    <definedName name="TEXAS_ALLOC">'[1]INPUTS - Other'!$C$37</definedName>
    <definedName name="TO_DISTOPX" localSheetId="6">'[1]Sched F4 Factors'!#REF!</definedName>
    <definedName name="TO_DISTOPX" localSheetId="12">'[1]Sched F4 Factors'!#REF!</definedName>
    <definedName name="TO_DISTOPX" localSheetId="2">'[1]Sched F4 Factors'!#REF!</definedName>
    <definedName name="TO_DISTOPX" localSheetId="4">'[1]Sched F4 Factors'!#REF!</definedName>
    <definedName name="TO_DISTOPX" localSheetId="5">'[1]Sched F4 Factors'!#REF!</definedName>
    <definedName name="TO_DISTOPX" localSheetId="3">'[1]Sched F4 Factors'!#REF!</definedName>
    <definedName name="TO_DISTOPX">'[1]Sched F4 Factors'!#REF!</definedName>
    <definedName name="TO_GNLPLTN">'[1]Sched F3 NTP_Factor'!$F$35</definedName>
    <definedName name="TO_MILE" localSheetId="6">'[1]Sched F4 Factors'!#REF!</definedName>
    <definedName name="TO_MILE" localSheetId="12">'[1]Sched F4 Factors'!#REF!</definedName>
    <definedName name="TO_MILE" localSheetId="2">'[1]Sched F4 Factors'!#REF!</definedName>
    <definedName name="TO_MILE" localSheetId="4">'[1]Sched F4 Factors'!#REF!</definedName>
    <definedName name="TO_MILE" localSheetId="5">'[1]Sched F4 Factors'!#REF!</definedName>
    <definedName name="TO_MILE" localSheetId="3">'[1]Sched F4 Factors'!#REF!</definedName>
    <definedName name="TO_MILE">'[1]Sched F4 Factors'!#REF!</definedName>
    <definedName name="TO_PAYXAG">'[1]Sched F1 Payroll Factors'!$F$16</definedName>
    <definedName name="TO_PLTSVCN">'[1]Sched F3 NTP_Factor'!$F$48</definedName>
    <definedName name="TO_SQFT" localSheetId="6">'[1]Sched F4 Factors'!#REF!</definedName>
    <definedName name="TO_SQFT" localSheetId="12">'[1]Sched F4 Factors'!#REF!</definedName>
    <definedName name="TO_SQFT" localSheetId="2">'[1]Sched F4 Factors'!#REF!</definedName>
    <definedName name="TO_SQFT" localSheetId="4">'[1]Sched F4 Factors'!#REF!</definedName>
    <definedName name="TO_SQFT" localSheetId="5">'[1]Sched F4 Factors'!#REF!</definedName>
    <definedName name="TO_SQFT" localSheetId="3">'[1]Sched F4 Factors'!#REF!</definedName>
    <definedName name="TO_SQFT">'[1]Sched F4 Factors'!#REF!</definedName>
    <definedName name="TO_SQFT2" localSheetId="6">'[1]Sched F4 Factors'!#REF!</definedName>
    <definedName name="TO_SQFT2" localSheetId="12">'[1]Sched F4 Factors'!#REF!</definedName>
    <definedName name="TO_SQFT2" localSheetId="2">'[1]Sched F4 Factors'!#REF!</definedName>
    <definedName name="TO_SQFT2" localSheetId="4">'[1]Sched F4 Factors'!#REF!</definedName>
    <definedName name="TO_SQFT2" localSheetId="5">'[1]Sched F4 Factors'!#REF!</definedName>
    <definedName name="TO_SQFT2" localSheetId="3">'[1]Sched F4 Factors'!#REF!</definedName>
    <definedName name="TO_SQFT2">'[1]Sched F4 Factors'!#REF!</definedName>
    <definedName name="TY">#N/A</definedName>
  </definedNames>
  <calcPr calcId="124519"/>
</workbook>
</file>

<file path=xl/calcChain.xml><?xml version="1.0" encoding="utf-8"?>
<calcChain xmlns="http://schemas.openxmlformats.org/spreadsheetml/2006/main">
  <c r="A9" i="25"/>
  <c r="A10" s="1"/>
  <c r="A11" s="1"/>
  <c r="A12" s="1"/>
  <c r="A13" s="1"/>
  <c r="A14" s="1"/>
  <c r="A15" s="1"/>
  <c r="A16" s="1"/>
  <c r="A8"/>
  <c r="A7" i="24"/>
  <c r="A8" s="1"/>
  <c r="A9" s="1"/>
  <c r="A10" s="1"/>
  <c r="A11" s="1"/>
  <c r="A12" s="1"/>
  <c r="A13" s="1"/>
  <c r="A14" s="1"/>
  <c r="A15" s="1"/>
  <c r="A16" s="1"/>
  <c r="A17" s="1"/>
  <c r="A18" s="1"/>
  <c r="A19" s="1"/>
  <c r="A20" s="1"/>
  <c r="A21" s="1"/>
  <c r="A22" s="1"/>
  <c r="H37" i="18"/>
  <c r="H36"/>
  <c r="H35"/>
  <c r="H34"/>
  <c r="H30"/>
  <c r="H29"/>
  <c r="H28"/>
  <c r="H27"/>
  <c r="H26"/>
  <c r="H25"/>
  <c r="H24"/>
  <c r="H23"/>
  <c r="H22"/>
  <c r="E16" i="13"/>
  <c r="E15"/>
  <c r="E14"/>
  <c r="E13"/>
  <c r="E12"/>
  <c r="E11"/>
  <c r="F19"/>
  <c r="D22" i="24"/>
  <c r="E22" s="1"/>
  <c r="C22"/>
  <c r="E14"/>
  <c r="E11"/>
  <c r="E8"/>
  <c r="E34" i="16" l="1"/>
  <c r="E24"/>
  <c r="E18" i="13"/>
  <c r="E17"/>
  <c r="F26" i="10"/>
  <c r="E26" s="1"/>
  <c r="E25" i="16"/>
  <c r="E104"/>
  <c r="E103"/>
  <c r="E105" s="1"/>
  <c r="E31" s="1"/>
  <c r="E98"/>
  <c r="E30" s="1"/>
  <c r="E97"/>
  <c r="E96"/>
  <c r="E91"/>
  <c r="E90"/>
  <c r="E89"/>
  <c r="F18" i="17"/>
  <c r="F17" s="1"/>
  <c r="F30" i="12"/>
  <c r="F96" i="18"/>
  <c r="A84"/>
  <c r="A85" s="1"/>
  <c r="A86" s="1"/>
  <c r="A87" s="1"/>
  <c r="A88" s="1"/>
  <c r="A89" s="1"/>
  <c r="A90" s="1"/>
  <c r="A91" s="1"/>
  <c r="A92" s="1"/>
  <c r="D79"/>
  <c r="A12" i="20"/>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11"/>
  <c r="A32" i="19"/>
  <c r="A33" s="1"/>
  <c r="A31"/>
  <c r="A30"/>
  <c r="A29"/>
  <c r="A28"/>
  <c r="A27"/>
  <c r="A10" i="21"/>
  <c r="A11" s="1"/>
  <c r="A12" s="1"/>
  <c r="A13" s="1"/>
  <c r="A14" s="1"/>
  <c r="A15" s="1"/>
  <c r="A16" s="1"/>
  <c r="A17" s="1"/>
  <c r="A18" s="1"/>
  <c r="A19" s="1"/>
  <c r="A20" s="1"/>
  <c r="A21" s="1"/>
  <c r="A22" s="1"/>
  <c r="A23" s="1"/>
  <c r="A24" s="1"/>
  <c r="A25" s="1"/>
  <c r="A26" s="1"/>
  <c r="A27" s="1"/>
  <c r="A28" s="1"/>
  <c r="A29" s="1"/>
  <c r="A30" s="1"/>
  <c r="A31" s="1"/>
  <c r="A32" s="1"/>
  <c r="A33" s="1"/>
  <c r="D24"/>
  <c r="C24"/>
  <c r="D23"/>
  <c r="D14"/>
  <c r="D20" s="1"/>
  <c r="D13"/>
  <c r="D19" s="1"/>
  <c r="D12"/>
  <c r="D11"/>
  <c r="D10"/>
  <c r="E45" i="20"/>
  <c r="C45"/>
  <c r="G44"/>
  <c r="C14" i="21" s="1"/>
  <c r="C20" s="1"/>
  <c r="G43" i="20"/>
  <c r="G42"/>
  <c r="E39"/>
  <c r="C39"/>
  <c r="G38"/>
  <c r="C13" i="21" s="1"/>
  <c r="G37" i="20"/>
  <c r="G36"/>
  <c r="E33"/>
  <c r="C33"/>
  <c r="G32"/>
  <c r="C11" i="21" s="1"/>
  <c r="G31" i="20"/>
  <c r="G30"/>
  <c r="E27"/>
  <c r="C27"/>
  <c r="G26"/>
  <c r="C12" i="21" s="1"/>
  <c r="G25" i="20"/>
  <c r="G24"/>
  <c r="E21"/>
  <c r="C21"/>
  <c r="G20"/>
  <c r="C10" i="21" s="1"/>
  <c r="G19" i="20"/>
  <c r="G18"/>
  <c r="E15"/>
  <c r="C15"/>
  <c r="G14"/>
  <c r="G13"/>
  <c r="G12"/>
  <c r="G11"/>
  <c r="G10"/>
  <c r="E12" i="21" l="1"/>
  <c r="G33" i="20"/>
  <c r="G15"/>
  <c r="G21"/>
  <c r="G39"/>
  <c r="G27"/>
  <c r="G45"/>
  <c r="E13" i="21"/>
  <c r="E20"/>
  <c r="C19"/>
  <c r="E11"/>
  <c r="E14"/>
  <c r="D15"/>
  <c r="E10"/>
  <c r="C15"/>
  <c r="A7" i="10"/>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13" i="19"/>
  <c r="A14" s="1"/>
  <c r="A15" s="1"/>
  <c r="A16" s="1"/>
  <c r="A17" s="1"/>
  <c r="A18" s="1"/>
  <c r="A19" s="1"/>
  <c r="A20" s="1"/>
  <c r="A21" s="1"/>
  <c r="A22" s="1"/>
  <c r="A23" s="1"/>
  <c r="A24" s="1"/>
  <c r="A25" s="1"/>
  <c r="A26" s="1"/>
  <c r="A12"/>
  <c r="F98" i="18"/>
  <c r="F97"/>
  <c r="E41" i="10"/>
  <c r="E40"/>
  <c r="E39"/>
  <c r="C39"/>
  <c r="E38"/>
  <c r="C38"/>
  <c r="E37"/>
  <c r="E36"/>
  <c r="C36"/>
  <c r="B41"/>
  <c r="B40"/>
  <c r="B39"/>
  <c r="B38"/>
  <c r="B37"/>
  <c r="B36"/>
  <c r="F56"/>
  <c r="F55"/>
  <c r="F54"/>
  <c r="F53"/>
  <c r="F52"/>
  <c r="I26"/>
  <c r="H26"/>
  <c r="G26"/>
  <c r="E58"/>
  <c r="B26"/>
  <c r="B27" s="1"/>
  <c r="B28" s="1"/>
  <c r="B29" s="1"/>
  <c r="B30" s="1"/>
  <c r="B31" s="1"/>
  <c r="K25" i="19"/>
  <c r="J25"/>
  <c r="I25"/>
  <c r="H25"/>
  <c r="E20"/>
  <c r="K79" i="18"/>
  <c r="J79"/>
  <c r="K43"/>
  <c r="J43"/>
  <c r="B16" i="10"/>
  <c r="B17" s="1"/>
  <c r="B18" s="1"/>
  <c r="B19" l="1"/>
  <c r="B20" s="1"/>
  <c r="B21" s="1"/>
  <c r="K50" i="13"/>
  <c r="E42" i="10"/>
  <c r="G47" i="20"/>
  <c r="E19" i="21"/>
  <c r="E15"/>
  <c r="K13" i="13"/>
  <c r="K15"/>
  <c r="K16"/>
  <c r="K62"/>
  <c r="K64"/>
  <c r="K65"/>
  <c r="G11" i="16"/>
  <c r="I11"/>
  <c r="K11"/>
  <c r="H15"/>
  <c r="J15"/>
  <c r="G18"/>
  <c r="I18"/>
  <c r="K18"/>
  <c r="G26"/>
  <c r="F39" i="10" s="1"/>
  <c r="I26" i="16"/>
  <c r="H39" i="10" s="1"/>
  <c r="K26" i="16"/>
  <c r="J39" i="10" s="1"/>
  <c r="G41" i="16"/>
  <c r="G42" s="1"/>
  <c r="G15" i="19" s="1"/>
  <c r="I41" i="16"/>
  <c r="I42" s="1"/>
  <c r="I15" i="19" s="1"/>
  <c r="K41" i="16"/>
  <c r="K42" s="1"/>
  <c r="K15" i="19" s="1"/>
  <c r="G60" i="16"/>
  <c r="I60"/>
  <c r="K60"/>
  <c r="H62"/>
  <c r="J62"/>
  <c r="G63"/>
  <c r="I63"/>
  <c r="K63"/>
  <c r="H79"/>
  <c r="H20" i="19" s="1"/>
  <c r="J79" i="16"/>
  <c r="J20" i="19" s="1"/>
  <c r="I10" i="17"/>
  <c r="K10"/>
  <c r="H11"/>
  <c r="J11"/>
  <c r="L11"/>
  <c r="K10" i="16"/>
  <c r="H11"/>
  <c r="J11"/>
  <c r="G15"/>
  <c r="I15"/>
  <c r="K15"/>
  <c r="H18"/>
  <c r="J18"/>
  <c r="H26"/>
  <c r="G39" i="10" s="1"/>
  <c r="J26" i="16"/>
  <c r="I39" i="10" s="1"/>
  <c r="H41" i="16"/>
  <c r="H42" s="1"/>
  <c r="H15" i="19" s="1"/>
  <c r="J41" i="16"/>
  <c r="J42" s="1"/>
  <c r="J15" i="19" s="1"/>
  <c r="H60" i="16"/>
  <c r="J60"/>
  <c r="I62"/>
  <c r="K62"/>
  <c r="H63"/>
  <c r="J63"/>
  <c r="G79"/>
  <c r="G20" i="19" s="1"/>
  <c r="I79" i="16"/>
  <c r="I20" i="19" s="1"/>
  <c r="K79" i="16"/>
  <c r="K20" i="19" s="1"/>
  <c r="H10" i="17"/>
  <c r="J10"/>
  <c r="L10"/>
  <c r="I11"/>
  <c r="K11"/>
  <c r="F58" i="10"/>
  <c r="G10" i="16"/>
  <c r="G28" i="10"/>
  <c r="I16" i="16" s="1"/>
  <c r="G29" i="10"/>
  <c r="I17" i="16" s="1"/>
  <c r="I28" i="10"/>
  <c r="K16" i="16" s="1"/>
  <c r="I29" i="10"/>
  <c r="K17" i="16" s="1"/>
  <c r="H29" i="10"/>
  <c r="J17" i="16" s="1"/>
  <c r="H28" i="10"/>
  <c r="J16" i="16" s="1"/>
  <c r="G62"/>
  <c r="F29" i="10"/>
  <c r="H17" i="16" s="1"/>
  <c r="F28" i="10"/>
  <c r="H16" i="16" s="1"/>
  <c r="H10"/>
  <c r="J10"/>
  <c r="J46" i="18"/>
  <c r="J23" i="16" s="1"/>
  <c r="I36" i="10" s="1"/>
  <c r="J47" i="18"/>
  <c r="J24" i="16" s="1"/>
  <c r="I37" i="10" s="1"/>
  <c r="J48" i="18"/>
  <c r="J49"/>
  <c r="J30" i="16" s="1"/>
  <c r="I40" i="10" s="1"/>
  <c r="J50" i="18"/>
  <c r="J31" i="16" s="1"/>
  <c r="I41" i="10" s="1"/>
  <c r="J51" i="18"/>
  <c r="J50" i="16" s="1"/>
  <c r="J58" i="18"/>
  <c r="K23" i="16" s="1"/>
  <c r="J36" i="10" s="1"/>
  <c r="J59" i="18"/>
  <c r="K24" i="16" s="1"/>
  <c r="J60" i="18"/>
  <c r="J61"/>
  <c r="K30" i="16" s="1"/>
  <c r="J40" i="10" s="1"/>
  <c r="J62" i="18"/>
  <c r="K31" i="16" s="1"/>
  <c r="J41" i="10" s="1"/>
  <c r="I10" i="16"/>
  <c r="K20" i="13"/>
  <c r="L15"/>
  <c r="K58" i="18"/>
  <c r="L13" i="13"/>
  <c r="K37" i="16" l="1"/>
  <c r="K38" s="1"/>
  <c r="K14" i="19" s="1"/>
  <c r="I25" i="16"/>
  <c r="H38" i="10" s="1"/>
  <c r="J37" i="16"/>
  <c r="J38" s="1"/>
  <c r="J14" i="19" s="1"/>
  <c r="H25" i="16"/>
  <c r="G38" i="10" s="1"/>
  <c r="I37" i="16"/>
  <c r="I38" s="1"/>
  <c r="I14" i="19" s="1"/>
  <c r="K25" i="16"/>
  <c r="J38" i="10" s="1"/>
  <c r="H37" i="16"/>
  <c r="H38" s="1"/>
  <c r="H14" i="19" s="1"/>
  <c r="J25" i="16"/>
  <c r="I38" i="10" s="1"/>
  <c r="K21" i="13"/>
  <c r="E19" i="10" s="1"/>
  <c r="C31" i="21" s="1"/>
  <c r="D31" s="1"/>
  <c r="G12" i="16"/>
  <c r="G11" i="19" s="1"/>
  <c r="K69" i="13"/>
  <c r="E21" i="10" s="1"/>
  <c r="C33" i="21" s="1"/>
  <c r="C29" s="1"/>
  <c r="J12" i="17"/>
  <c r="H46" i="10" s="1"/>
  <c r="K32" i="16"/>
  <c r="L16" i="13"/>
  <c r="L20" s="1"/>
  <c r="L64"/>
  <c r="L12" i="17"/>
  <c r="J46" i="10" s="1"/>
  <c r="H12" i="17"/>
  <c r="F46" i="10" s="1"/>
  <c r="L65" i="13"/>
  <c r="L62"/>
  <c r="I19" i="16"/>
  <c r="I12" i="19" s="1"/>
  <c r="K12" i="17"/>
  <c r="I46" i="10" s="1"/>
  <c r="J19" i="16"/>
  <c r="J12" i="19" s="1"/>
  <c r="K19" i="16"/>
  <c r="K12" i="19" s="1"/>
  <c r="I12" i="17"/>
  <c r="G46" i="10" s="1"/>
  <c r="H19" i="16"/>
  <c r="H12" i="19" s="1"/>
  <c r="I42" i="10"/>
  <c r="I43" s="1"/>
  <c r="K59" i="18"/>
  <c r="E28" i="10"/>
  <c r="E29"/>
  <c r="J37"/>
  <c r="J42" s="1"/>
  <c r="J43" s="1"/>
  <c r="K12" i="16"/>
  <c r="K11" i="19" s="1"/>
  <c r="H12" i="16"/>
  <c r="H11" i="19" s="1"/>
  <c r="K61" i="18"/>
  <c r="K51"/>
  <c r="K49"/>
  <c r="K47"/>
  <c r="J32" i="16"/>
  <c r="I12"/>
  <c r="I11" i="19" s="1"/>
  <c r="J12" i="16"/>
  <c r="J11" i="19" s="1"/>
  <c r="K62" i="18"/>
  <c r="K60"/>
  <c r="K50"/>
  <c r="K48"/>
  <c r="K46"/>
  <c r="F57" i="16"/>
  <c r="D14" i="18"/>
  <c r="D13"/>
  <c r="D11"/>
  <c r="D84"/>
  <c r="D83" s="1"/>
  <c r="G17" i="16" l="1"/>
  <c r="G25"/>
  <c r="F38" i="10" s="1"/>
  <c r="G16" i="16"/>
  <c r="G19" s="1"/>
  <c r="G12" i="19" s="1"/>
  <c r="G37" i="16"/>
  <c r="G38" s="1"/>
  <c r="G14" i="19" s="1"/>
  <c r="K60" i="13"/>
  <c r="J64" i="18"/>
  <c r="K61" i="16" s="1"/>
  <c r="K64" s="1"/>
  <c r="K17" i="19" s="1"/>
  <c r="J13" i="21" s="1"/>
  <c r="J65" i="18"/>
  <c r="K67" i="16" s="1"/>
  <c r="J66" i="18"/>
  <c r="K74" i="16" s="1"/>
  <c r="J63" i="18"/>
  <c r="K50" i="16" s="1"/>
  <c r="K11" i="13"/>
  <c r="D33" i="21"/>
  <c r="D29" s="1"/>
  <c r="E29" s="1"/>
  <c r="L21" i="13"/>
  <c r="F19" i="10" s="1"/>
  <c r="L69" i="13"/>
  <c r="F21" i="10" s="1"/>
  <c r="I31"/>
  <c r="K48" i="16" s="1"/>
  <c r="I27" i="10"/>
  <c r="H31"/>
  <c r="J48" i="16" s="1"/>
  <c r="H27" i="10"/>
  <c r="I30"/>
  <c r="K22" i="16" s="1"/>
  <c r="F84" i="18"/>
  <c r="G54"/>
  <c r="D55"/>
  <c r="D91"/>
  <c r="D90"/>
  <c r="D89"/>
  <c r="D88"/>
  <c r="D85"/>
  <c r="D82"/>
  <c r="F77"/>
  <c r="F76"/>
  <c r="F75"/>
  <c r="F74"/>
  <c r="F73"/>
  <c r="F72"/>
  <c r="F71"/>
  <c r="F70"/>
  <c r="D67"/>
  <c r="G66"/>
  <c r="G65"/>
  <c r="G64"/>
  <c r="G63"/>
  <c r="G62"/>
  <c r="G61"/>
  <c r="G60"/>
  <c r="G59"/>
  <c r="G58"/>
  <c r="G53"/>
  <c r="G52"/>
  <c r="G51"/>
  <c r="G50"/>
  <c r="G49"/>
  <c r="G48"/>
  <c r="G47"/>
  <c r="G46"/>
  <c r="H42"/>
  <c r="H41"/>
  <c r="H40"/>
  <c r="H39"/>
  <c r="H38"/>
  <c r="J67" l="1"/>
  <c r="J18" i="21"/>
  <c r="J10"/>
  <c r="J12" s="1"/>
  <c r="J21"/>
  <c r="L11" i="13"/>
  <c r="K63" i="18"/>
  <c r="K66"/>
  <c r="L60" i="13"/>
  <c r="K64" i="18"/>
  <c r="K65"/>
  <c r="J54" i="16"/>
  <c r="J52"/>
  <c r="J47"/>
  <c r="J45"/>
  <c r="J53"/>
  <c r="J51"/>
  <c r="J46"/>
  <c r="K53"/>
  <c r="K51"/>
  <c r="K46"/>
  <c r="K54"/>
  <c r="K52"/>
  <c r="K47"/>
  <c r="K45"/>
  <c r="G55" i="18"/>
  <c r="F79"/>
  <c r="H43"/>
  <c r="G67"/>
  <c r="H31"/>
  <c r="D43"/>
  <c r="D31"/>
  <c r="C88"/>
  <c r="B88"/>
  <c r="C87"/>
  <c r="B87"/>
  <c r="C86"/>
  <c r="B86"/>
  <c r="C85"/>
  <c r="B85"/>
  <c r="C83"/>
  <c r="B83"/>
  <c r="C82"/>
  <c r="B82"/>
  <c r="C91"/>
  <c r="B91"/>
  <c r="C90"/>
  <c r="B90"/>
  <c r="C89"/>
  <c r="B89"/>
  <c r="D19"/>
  <c r="D87"/>
  <c r="D86"/>
  <c r="A10"/>
  <c r="A11" s="1"/>
  <c r="A12" s="1"/>
  <c r="A13" s="1"/>
  <c r="A14" s="1"/>
  <c r="A15" s="1"/>
  <c r="A16" s="1"/>
  <c r="A17" s="1"/>
  <c r="A18" s="1"/>
  <c r="A19" s="1"/>
  <c r="L21" i="17"/>
  <c r="L20"/>
  <c r="L19"/>
  <c r="L17"/>
  <c r="L16"/>
  <c r="K21"/>
  <c r="K16"/>
  <c r="J21"/>
  <c r="J20"/>
  <c r="J19"/>
  <c r="J17"/>
  <c r="J16"/>
  <c r="L90" i="13"/>
  <c r="K90"/>
  <c r="I21" i="17" s="1"/>
  <c r="L87" i="13"/>
  <c r="K87"/>
  <c r="L85"/>
  <c r="K85"/>
  <c r="I16" i="17" s="1"/>
  <c r="L68" i="13"/>
  <c r="K68"/>
  <c r="K20" i="17"/>
  <c r="L89" i="13"/>
  <c r="K89"/>
  <c r="I20" i="17" s="1"/>
  <c r="L19" i="13"/>
  <c r="K19"/>
  <c r="F90"/>
  <c r="F89"/>
  <c r="F88"/>
  <c r="F86"/>
  <c r="F85"/>
  <c r="F84"/>
  <c r="K67" i="18" l="1"/>
  <c r="D92"/>
  <c r="A20"/>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H87" i="13"/>
  <c r="G87"/>
  <c r="Q61" i="12"/>
  <c r="P61"/>
  <c r="O61"/>
  <c r="N61"/>
  <c r="M61"/>
  <c r="L61"/>
  <c r="K61"/>
  <c r="J61"/>
  <c r="I61"/>
  <c r="H61"/>
  <c r="G61"/>
  <c r="A10" l="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9"/>
  <c r="A11" i="13"/>
  <c r="A12" s="1"/>
  <c r="A13" s="1"/>
  <c r="A14" s="1"/>
  <c r="A15" s="1"/>
  <c r="A16" s="1"/>
  <c r="A17" s="1"/>
  <c r="A18" s="1"/>
  <c r="A19"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10" i="17"/>
  <c r="A11" s="1"/>
  <c r="A12" s="1"/>
  <c r="A13" s="1"/>
  <c r="A14" s="1"/>
  <c r="A15" s="1"/>
  <c r="A16" s="1"/>
  <c r="A17" s="1"/>
  <c r="A18" s="1"/>
  <c r="A19" s="1"/>
  <c r="A20" s="1"/>
  <c r="A21" s="1"/>
  <c r="A22" s="1"/>
  <c r="A23" s="1"/>
  <c r="A10" i="16"/>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24" i="17" l="1"/>
  <c r="A25" s="1"/>
  <c r="A26" s="1"/>
  <c r="A27" s="1"/>
  <c r="A28" s="1"/>
  <c r="A29" s="1"/>
  <c r="A30" s="1"/>
  <c r="A31" s="1"/>
  <c r="A32" s="1"/>
  <c r="A33" s="1"/>
  <c r="K30" l="1"/>
  <c r="L30"/>
  <c r="K29"/>
  <c r="L29"/>
  <c r="L28"/>
  <c r="K28"/>
  <c r="K27"/>
  <c r="L27"/>
  <c r="K26"/>
  <c r="L26"/>
  <c r="K25"/>
  <c r="L25"/>
  <c r="E42" i="16"/>
  <c r="E15" i="19" s="1"/>
  <c r="E27" i="16"/>
  <c r="F12" i="17"/>
  <c r="E46" i="10" s="1"/>
  <c r="F31" i="17"/>
  <c r="E19" i="16"/>
  <c r="E12" i="19" s="1"/>
  <c r="E32" i="16"/>
  <c r="E38"/>
  <c r="E14" i="19" s="1"/>
  <c r="E64" i="16"/>
  <c r="E17" i="19" s="1"/>
  <c r="E12" i="16"/>
  <c r="E11" i="19" s="1"/>
  <c r="E13" l="1"/>
  <c r="K31" i="17"/>
  <c r="L31"/>
  <c r="K27" i="16"/>
  <c r="K34" s="1"/>
  <c r="K13" i="19" s="1"/>
  <c r="G90" i="13" l="1"/>
  <c r="H89"/>
  <c r="G89"/>
  <c r="H88"/>
  <c r="H86"/>
  <c r="G85"/>
  <c r="H84"/>
  <c r="G84"/>
  <c r="H67"/>
  <c r="G67"/>
  <c r="H55"/>
  <c r="H43"/>
  <c r="G43"/>
  <c r="H31"/>
  <c r="G31"/>
  <c r="G18"/>
  <c r="E66"/>
  <c r="E65"/>
  <c r="E64"/>
  <c r="E63"/>
  <c r="E62"/>
  <c r="E61"/>
  <c r="E60"/>
  <c r="E54"/>
  <c r="E53"/>
  <c r="E51"/>
  <c r="E49"/>
  <c r="E48"/>
  <c r="E42"/>
  <c r="E41"/>
  <c r="E40"/>
  <c r="E39"/>
  <c r="E38"/>
  <c r="E37"/>
  <c r="E36"/>
  <c r="E30"/>
  <c r="E29"/>
  <c r="E28"/>
  <c r="E27"/>
  <c r="E26"/>
  <c r="E25"/>
  <c r="E24"/>
  <c r="E31" s="1"/>
  <c r="F33" s="1"/>
  <c r="E75"/>
  <c r="F75" s="1"/>
  <c r="G52"/>
  <c r="G50"/>
  <c r="H17"/>
  <c r="H90" s="1"/>
  <c r="H12"/>
  <c r="H85" s="1"/>
  <c r="K52" l="1"/>
  <c r="L52"/>
  <c r="L88" s="1"/>
  <c r="H44"/>
  <c r="F44"/>
  <c r="G44"/>
  <c r="H68"/>
  <c r="F68"/>
  <c r="G68"/>
  <c r="G33"/>
  <c r="L50"/>
  <c r="H19"/>
  <c r="G8" i="10" s="1"/>
  <c r="E8"/>
  <c r="G19" i="13"/>
  <c r="F8" i="10" s="1"/>
  <c r="G10" i="18" s="1"/>
  <c r="F20" i="13"/>
  <c r="E9" i="10" s="1"/>
  <c r="G20" i="13"/>
  <c r="F9" i="10" s="1"/>
  <c r="H20" i="13"/>
  <c r="G9" i="10" s="1"/>
  <c r="H32" i="13"/>
  <c r="F32"/>
  <c r="G32"/>
  <c r="H33"/>
  <c r="G86"/>
  <c r="G88"/>
  <c r="F87"/>
  <c r="F91" s="1"/>
  <c r="F79"/>
  <c r="E79"/>
  <c r="H79"/>
  <c r="G79"/>
  <c r="G81" s="1"/>
  <c r="E84"/>
  <c r="E87"/>
  <c r="E43"/>
  <c r="F45" s="1"/>
  <c r="E67"/>
  <c r="H69" s="1"/>
  <c r="E85"/>
  <c r="E50"/>
  <c r="E52"/>
  <c r="E88" s="1"/>
  <c r="G55"/>
  <c r="E90"/>
  <c r="E89"/>
  <c r="H18"/>
  <c r="E86"/>
  <c r="F92" s="1"/>
  <c r="F21"/>
  <c r="E10" i="10" s="1"/>
  <c r="G91" i="13"/>
  <c r="F17" i="18" l="1"/>
  <c r="F90" s="1"/>
  <c r="F18"/>
  <c r="F91" s="1"/>
  <c r="F16"/>
  <c r="F89" s="1"/>
  <c r="F15"/>
  <c r="F88" s="1"/>
  <c r="F13"/>
  <c r="F86" s="1"/>
  <c r="F12"/>
  <c r="F85" s="1"/>
  <c r="F14"/>
  <c r="F87" s="1"/>
  <c r="F11"/>
  <c r="F10"/>
  <c r="F82" s="1"/>
  <c r="H15"/>
  <c r="H88" s="1"/>
  <c r="H12"/>
  <c r="H85" s="1"/>
  <c r="H13"/>
  <c r="H86" s="1"/>
  <c r="H14"/>
  <c r="H87" s="1"/>
  <c r="H21" i="13"/>
  <c r="G10" i="10" s="1"/>
  <c r="H81" i="13"/>
  <c r="F81"/>
  <c r="H45"/>
  <c r="G21"/>
  <c r="F10" i="10" s="1"/>
  <c r="C22" i="21" s="1"/>
  <c r="H56" i="13"/>
  <c r="F56"/>
  <c r="L67"/>
  <c r="F69"/>
  <c r="G12" i="18"/>
  <c r="G13"/>
  <c r="G15"/>
  <c r="G14"/>
  <c r="G11"/>
  <c r="J11" s="1"/>
  <c r="H11"/>
  <c r="H83" s="1"/>
  <c r="H10"/>
  <c r="H82" s="1"/>
  <c r="G69" i="13"/>
  <c r="G45"/>
  <c r="H20" i="17"/>
  <c r="H21"/>
  <c r="L57" i="13"/>
  <c r="K17" i="17"/>
  <c r="K57" i="13"/>
  <c r="K88"/>
  <c r="I19" i="17" s="1"/>
  <c r="H19" s="1"/>
  <c r="K19"/>
  <c r="K56" i="13"/>
  <c r="K86"/>
  <c r="G92"/>
  <c r="J15" i="17"/>
  <c r="L56" i="13"/>
  <c r="L86"/>
  <c r="L92" s="1"/>
  <c r="H92"/>
  <c r="G56"/>
  <c r="E91"/>
  <c r="G93" s="1"/>
  <c r="H18" i="17"/>
  <c r="E55" i="13"/>
  <c r="F57" s="1"/>
  <c r="H91"/>
  <c r="H93" s="1"/>
  <c r="E32" i="12"/>
  <c r="D30" s="1"/>
  <c r="Q30" s="1"/>
  <c r="F27"/>
  <c r="R27" s="1"/>
  <c r="G27"/>
  <c r="H27"/>
  <c r="I27"/>
  <c r="J27"/>
  <c r="K27"/>
  <c r="L27"/>
  <c r="M27"/>
  <c r="N27"/>
  <c r="O27"/>
  <c r="P27"/>
  <c r="Q27"/>
  <c r="Q13"/>
  <c r="P13"/>
  <c r="O13"/>
  <c r="N13"/>
  <c r="M13"/>
  <c r="L13"/>
  <c r="K13"/>
  <c r="J13"/>
  <c r="I13"/>
  <c r="H13"/>
  <c r="G13"/>
  <c r="F13"/>
  <c r="Q58"/>
  <c r="P58"/>
  <c r="O58"/>
  <c r="N58"/>
  <c r="M58"/>
  <c r="L58"/>
  <c r="K58"/>
  <c r="J58"/>
  <c r="I58"/>
  <c r="H58"/>
  <c r="G58"/>
  <c r="F58"/>
  <c r="R35"/>
  <c r="R36"/>
  <c r="R37"/>
  <c r="R38"/>
  <c r="R39"/>
  <c r="R40"/>
  <c r="R41"/>
  <c r="R42"/>
  <c r="R43"/>
  <c r="R44"/>
  <c r="R45"/>
  <c r="R46"/>
  <c r="R47"/>
  <c r="R48"/>
  <c r="R49"/>
  <c r="R50"/>
  <c r="R51"/>
  <c r="R52"/>
  <c r="R53"/>
  <c r="R54"/>
  <c r="R55"/>
  <c r="R56"/>
  <c r="F57"/>
  <c r="F59" s="1"/>
  <c r="G57"/>
  <c r="G59" s="1"/>
  <c r="H57"/>
  <c r="H59" s="1"/>
  <c r="I57"/>
  <c r="I59" s="1"/>
  <c r="J57"/>
  <c r="J59" s="1"/>
  <c r="K57"/>
  <c r="K59" s="1"/>
  <c r="L57"/>
  <c r="L59" s="1"/>
  <c r="M57"/>
  <c r="M59" s="1"/>
  <c r="N57"/>
  <c r="N59" s="1"/>
  <c r="O57"/>
  <c r="O59" s="1"/>
  <c r="P57"/>
  <c r="P59" s="1"/>
  <c r="Q57"/>
  <c r="Q59" s="1"/>
  <c r="F92" i="18" l="1"/>
  <c r="D22" i="21"/>
  <c r="D18" s="1"/>
  <c r="C18"/>
  <c r="K11" i="18"/>
  <c r="K83" s="1"/>
  <c r="G83"/>
  <c r="J14"/>
  <c r="G87"/>
  <c r="K14"/>
  <c r="K87" s="1"/>
  <c r="J13"/>
  <c r="G86"/>
  <c r="K13"/>
  <c r="K86" s="1"/>
  <c r="G16"/>
  <c r="G18"/>
  <c r="G17"/>
  <c r="H18"/>
  <c r="H91" s="1"/>
  <c r="H17"/>
  <c r="H90" s="1"/>
  <c r="H16"/>
  <c r="G82"/>
  <c r="J10"/>
  <c r="K10"/>
  <c r="J15"/>
  <c r="G88"/>
  <c r="K15"/>
  <c r="K88" s="1"/>
  <c r="J12"/>
  <c r="J85" s="1"/>
  <c r="K12"/>
  <c r="K85" s="1"/>
  <c r="G85"/>
  <c r="F93" i="13"/>
  <c r="H16" i="17"/>
  <c r="L18"/>
  <c r="K18"/>
  <c r="J18"/>
  <c r="J22" s="1"/>
  <c r="I18"/>
  <c r="E20" i="10"/>
  <c r="C32" i="21" s="1"/>
  <c r="F20" i="10"/>
  <c r="K67" i="13"/>
  <c r="L15" i="17"/>
  <c r="K92" i="13"/>
  <c r="I17" i="17"/>
  <c r="H17" s="1"/>
  <c r="K18" i="13"/>
  <c r="H57"/>
  <c r="L18"/>
  <c r="G57"/>
  <c r="R58" i="12"/>
  <c r="R13"/>
  <c r="H30"/>
  <c r="J30"/>
  <c r="L30"/>
  <c r="N30"/>
  <c r="P30"/>
  <c r="G30"/>
  <c r="I30"/>
  <c r="K30"/>
  <c r="M30"/>
  <c r="O30"/>
  <c r="F22" i="17"/>
  <c r="E47" i="10" s="1"/>
  <c r="E48" s="1"/>
  <c r="D31" i="12"/>
  <c r="R59"/>
  <c r="R57"/>
  <c r="R18"/>
  <c r="R19"/>
  <c r="R20"/>
  <c r="R21"/>
  <c r="R22"/>
  <c r="R23"/>
  <c r="R24"/>
  <c r="R25"/>
  <c r="R9"/>
  <c r="R10"/>
  <c r="R11"/>
  <c r="E18" i="21" l="1"/>
  <c r="C21"/>
  <c r="C27"/>
  <c r="D32"/>
  <c r="D28" s="1"/>
  <c r="C28"/>
  <c r="D21"/>
  <c r="D27"/>
  <c r="K82" i="18"/>
  <c r="H89"/>
  <c r="H92" s="1"/>
  <c r="H19"/>
  <c r="J18"/>
  <c r="I74" i="16" s="1"/>
  <c r="K18" i="18"/>
  <c r="G91"/>
  <c r="I30" i="16"/>
  <c r="J86" i="18"/>
  <c r="H30" i="16" s="1"/>
  <c r="I50"/>
  <c r="J88" i="18"/>
  <c r="H50" i="16" s="1"/>
  <c r="J82" i="18"/>
  <c r="H23" i="16" s="1"/>
  <c r="I23"/>
  <c r="H36" i="10" s="1"/>
  <c r="J17" i="18"/>
  <c r="I67" i="16" s="1"/>
  <c r="K17" i="18"/>
  <c r="G90"/>
  <c r="J16"/>
  <c r="G19"/>
  <c r="K16"/>
  <c r="G89"/>
  <c r="J87"/>
  <c r="H31" i="16" s="1"/>
  <c r="I31"/>
  <c r="H41" i="10" s="1"/>
  <c r="I24" i="16"/>
  <c r="H37" i="10" s="1"/>
  <c r="J83" i="18"/>
  <c r="H24" i="16" s="1"/>
  <c r="L55" i="13"/>
  <c r="H47" i="10"/>
  <c r="H48" s="1"/>
  <c r="H49" s="1"/>
  <c r="L22" i="17"/>
  <c r="K54" i="18"/>
  <c r="K53"/>
  <c r="K52"/>
  <c r="J54"/>
  <c r="J53"/>
  <c r="J52"/>
  <c r="K31"/>
  <c r="L84" i="13"/>
  <c r="L91" s="1"/>
  <c r="L93" s="1"/>
  <c r="R30" i="12"/>
  <c r="K32"/>
  <c r="N32"/>
  <c r="P31"/>
  <c r="N31"/>
  <c r="L31"/>
  <c r="L32" s="1"/>
  <c r="J31"/>
  <c r="J32" s="1"/>
  <c r="H31"/>
  <c r="F31"/>
  <c r="Q31"/>
  <c r="Q32" s="1"/>
  <c r="O31"/>
  <c r="O32" s="1"/>
  <c r="M31"/>
  <c r="K31"/>
  <c r="I31"/>
  <c r="I32" s="1"/>
  <c r="G31"/>
  <c r="G32" s="1"/>
  <c r="M32"/>
  <c r="P32"/>
  <c r="H32"/>
  <c r="F33" i="17"/>
  <c r="I61" i="16" l="1"/>
  <c r="I64" s="1"/>
  <c r="I17" i="19" s="1"/>
  <c r="H13" i="21" s="1"/>
  <c r="J89" i="18"/>
  <c r="E21" i="21"/>
  <c r="K19" i="18"/>
  <c r="K90"/>
  <c r="K91"/>
  <c r="C30" i="21"/>
  <c r="E27"/>
  <c r="D30"/>
  <c r="E28"/>
  <c r="H18"/>
  <c r="G92" i="18"/>
  <c r="G41" i="10"/>
  <c r="G31" i="16"/>
  <c r="F41" i="10" s="1"/>
  <c r="G36"/>
  <c r="G23" i="16"/>
  <c r="F36" i="10" s="1"/>
  <c r="G30" i="16"/>
  <c r="H32"/>
  <c r="G40" i="10"/>
  <c r="J19" i="18"/>
  <c r="G37" i="10"/>
  <c r="G24" i="16"/>
  <c r="F37" i="10" s="1"/>
  <c r="H40"/>
  <c r="H42" s="1"/>
  <c r="H43" s="1"/>
  <c r="I32" i="16"/>
  <c r="J47" i="10"/>
  <c r="J48" s="1"/>
  <c r="J49" s="1"/>
  <c r="L33" i="17"/>
  <c r="J67" i="16"/>
  <c r="J90" i="18"/>
  <c r="H67" i="16" s="1"/>
  <c r="G67" s="1"/>
  <c r="K55" i="18"/>
  <c r="K89"/>
  <c r="J61" i="16"/>
  <c r="J64" s="1"/>
  <c r="J55" i="18"/>
  <c r="J74" i="16"/>
  <c r="J91" i="18"/>
  <c r="H74" i="16" s="1"/>
  <c r="J31" i="18"/>
  <c r="R31" i="12"/>
  <c r="F32"/>
  <c r="E30" i="21" l="1"/>
  <c r="K92" i="18"/>
  <c r="H10" i="21"/>
  <c r="H21"/>
  <c r="I10"/>
  <c r="I12" s="1"/>
  <c r="I21"/>
  <c r="G27" i="10"/>
  <c r="G31"/>
  <c r="G30"/>
  <c r="I22" i="16" s="1"/>
  <c r="I27" s="1"/>
  <c r="I34" s="1"/>
  <c r="I13" i="19" s="1"/>
  <c r="G32" i="16"/>
  <c r="F40" i="10"/>
  <c r="F42" s="1"/>
  <c r="F43" s="1"/>
  <c r="G42"/>
  <c r="G43" s="1"/>
  <c r="K49" i="16"/>
  <c r="K55" s="1"/>
  <c r="J49"/>
  <c r="J55" s="1"/>
  <c r="H61"/>
  <c r="G61" s="1"/>
  <c r="J92" i="18"/>
  <c r="J17" i="19"/>
  <c r="R32" i="12"/>
  <c r="F61"/>
  <c r="R61" s="1"/>
  <c r="G50" i="16"/>
  <c r="I49" l="1"/>
  <c r="I48"/>
  <c r="K21" i="21"/>
  <c r="K10"/>
  <c r="H12"/>
  <c r="K12" s="1"/>
  <c r="I18"/>
  <c r="K18" s="1"/>
  <c r="I13"/>
  <c r="E27" i="10"/>
  <c r="E30"/>
  <c r="G22" i="16" s="1"/>
  <c r="G27" s="1"/>
  <c r="G34" s="1"/>
  <c r="G13" i="19" s="1"/>
  <c r="E31" i="10"/>
  <c r="G48" i="16" s="1"/>
  <c r="J26" i="17"/>
  <c r="J30"/>
  <c r="J25"/>
  <c r="J27"/>
  <c r="J29"/>
  <c r="J28"/>
  <c r="F31" i="10"/>
  <c r="H48" i="16" s="1"/>
  <c r="F27" i="10"/>
  <c r="F30"/>
  <c r="H22" i="16" s="1"/>
  <c r="H27" s="1"/>
  <c r="H34" s="1"/>
  <c r="H13" i="19" s="1"/>
  <c r="I53" i="16"/>
  <c r="I46"/>
  <c r="I52"/>
  <c r="I45"/>
  <c r="I51"/>
  <c r="I54"/>
  <c r="I47"/>
  <c r="H64"/>
  <c r="H17" i="19" s="1"/>
  <c r="G64" i="16"/>
  <c r="G17" i="19" s="1"/>
  <c r="J68" i="16"/>
  <c r="J69" s="1"/>
  <c r="J18" i="19" s="1"/>
  <c r="H68" i="16"/>
  <c r="H69" s="1"/>
  <c r="H18" i="19" s="1"/>
  <c r="K68" i="16"/>
  <c r="K69" s="1"/>
  <c r="K18" i="19" s="1"/>
  <c r="I68" i="16"/>
  <c r="I69" s="1"/>
  <c r="I18" i="19" s="1"/>
  <c r="G68" i="16"/>
  <c r="G69" s="1"/>
  <c r="J16" i="19"/>
  <c r="K16"/>
  <c r="K57" i="16"/>
  <c r="G74"/>
  <c r="E55"/>
  <c r="E69"/>
  <c r="K13" i="21" l="1"/>
  <c r="I26" i="17"/>
  <c r="I28"/>
  <c r="I30"/>
  <c r="I25"/>
  <c r="I27"/>
  <c r="I29"/>
  <c r="G51" i="16"/>
  <c r="G54"/>
  <c r="G53"/>
  <c r="G46"/>
  <c r="G52"/>
  <c r="G45"/>
  <c r="G47"/>
  <c r="G49"/>
  <c r="H25" i="17"/>
  <c r="H26"/>
  <c r="H27"/>
  <c r="H28"/>
  <c r="H29"/>
  <c r="H30"/>
  <c r="H52" i="16"/>
  <c r="H45"/>
  <c r="H51"/>
  <c r="H54"/>
  <c r="H47"/>
  <c r="H53"/>
  <c r="H46"/>
  <c r="H49"/>
  <c r="I55"/>
  <c r="J31" i="17"/>
  <c r="J33" s="1"/>
  <c r="G18" i="19"/>
  <c r="K75" i="16"/>
  <c r="K76" s="1"/>
  <c r="K19" i="19" s="1"/>
  <c r="K21" s="1"/>
  <c r="I75" i="16"/>
  <c r="I76" s="1"/>
  <c r="I19" i="19" s="1"/>
  <c r="G75" i="16"/>
  <c r="G76" s="1"/>
  <c r="J75"/>
  <c r="J76" s="1"/>
  <c r="J19" i="19" s="1"/>
  <c r="H75" i="16"/>
  <c r="H76" s="1"/>
  <c r="H19" i="19" s="1"/>
  <c r="K71" i="16"/>
  <c r="E18" i="19"/>
  <c r="E57" i="16"/>
  <c r="E71" s="1"/>
  <c r="E16" i="19"/>
  <c r="E76" i="16"/>
  <c r="E19" i="19" s="1"/>
  <c r="E21" l="1"/>
  <c r="H19" i="21"/>
  <c r="H14"/>
  <c r="J19"/>
  <c r="J14"/>
  <c r="J15" s="1"/>
  <c r="I14"/>
  <c r="I15" s="1"/>
  <c r="I19"/>
  <c r="H55" i="16"/>
  <c r="H16" i="19" s="1"/>
  <c r="H21" s="1"/>
  <c r="I57" i="16"/>
  <c r="I71" s="1"/>
  <c r="I81" s="1"/>
  <c r="I16" i="19"/>
  <c r="I21" s="1"/>
  <c r="H31" i="17"/>
  <c r="G55" i="16"/>
  <c r="I31" i="17"/>
  <c r="G19" i="19"/>
  <c r="K81" i="16"/>
  <c r="E81"/>
  <c r="H57" l="1"/>
  <c r="H71" s="1"/>
  <c r="H81" s="1"/>
  <c r="K19" i="21"/>
  <c r="K14"/>
  <c r="H15"/>
  <c r="J17"/>
  <c r="J20" s="1"/>
  <c r="J22" s="1"/>
  <c r="K22" i="19"/>
  <c r="I17" i="21"/>
  <c r="I20" s="1"/>
  <c r="I22" s="1"/>
  <c r="J22" i="19"/>
  <c r="G57" i="16"/>
  <c r="G71" s="1"/>
  <c r="G81" s="1"/>
  <c r="G16" i="19"/>
  <c r="G21" s="1"/>
  <c r="K15" i="17"/>
  <c r="K22" s="1"/>
  <c r="K84" i="13"/>
  <c r="K55"/>
  <c r="K23" i="19" l="1"/>
  <c r="K30" s="1"/>
  <c r="K29" s="1"/>
  <c r="I22"/>
  <c r="K15" i="21"/>
  <c r="H17"/>
  <c r="I47" i="10"/>
  <c r="I48" s="1"/>
  <c r="I49" s="1"/>
  <c r="K33" i="17"/>
  <c r="K91" i="13"/>
  <c r="K93" s="1"/>
  <c r="I15" i="17"/>
  <c r="H15" s="1"/>
  <c r="H22" s="1"/>
  <c r="H30" i="10"/>
  <c r="K31" i="19" l="1"/>
  <c r="K32" s="1"/>
  <c r="K33" s="1"/>
  <c r="I23"/>
  <c r="I30" s="1"/>
  <c r="I29" s="1"/>
  <c r="K17" i="21"/>
  <c r="H22" i="19" s="1"/>
  <c r="H23" s="1"/>
  <c r="H30" s="1"/>
  <c r="H29" s="1"/>
  <c r="H31" s="1"/>
  <c r="H32" s="1"/>
  <c r="H33" s="1"/>
  <c r="H20" i="21"/>
  <c r="I22" i="17"/>
  <c r="I33" s="1"/>
  <c r="J22" i="16"/>
  <c r="J27" s="1"/>
  <c r="I31" i="19" l="1"/>
  <c r="I32" s="1"/>
  <c r="I33" s="1"/>
  <c r="H22" i="21"/>
  <c r="K20"/>
  <c r="K22" s="1"/>
  <c r="G47" i="10"/>
  <c r="G48" s="1"/>
  <c r="G49" s="1"/>
  <c r="H33" i="17"/>
  <c r="F47" i="10"/>
  <c r="F48" s="1"/>
  <c r="F49" s="1"/>
  <c r="J34" i="16"/>
  <c r="J13" i="19" s="1"/>
  <c r="J57" i="16"/>
  <c r="J71" s="1"/>
  <c r="J81" s="1"/>
  <c r="J21" i="19" l="1"/>
  <c r="J23" s="1"/>
  <c r="J30" s="1"/>
  <c r="J29" s="1"/>
  <c r="J31" l="1"/>
  <c r="J32" s="1"/>
  <c r="J33" s="1"/>
</calcChain>
</file>

<file path=xl/sharedStrings.xml><?xml version="1.0" encoding="utf-8"?>
<sst xmlns="http://schemas.openxmlformats.org/spreadsheetml/2006/main" count="1004" uniqueCount="482">
  <si>
    <t>Year Ended December 31, 2010</t>
  </si>
  <si>
    <t>Account #</t>
  </si>
  <si>
    <t>Total</t>
  </si>
  <si>
    <t>Depreciation</t>
  </si>
  <si>
    <t>Property Taxes</t>
  </si>
  <si>
    <t>Interest</t>
  </si>
  <si>
    <t>Insurance</t>
  </si>
  <si>
    <t>Total Operating Expenses</t>
  </si>
  <si>
    <t>kW</t>
  </si>
  <si>
    <t>Jan</t>
  </si>
  <si>
    <t>Feb</t>
  </si>
  <si>
    <t>Mar</t>
  </si>
  <si>
    <t>Apr</t>
  </si>
  <si>
    <t>May</t>
  </si>
  <si>
    <t>Jun</t>
  </si>
  <si>
    <t>Jul</t>
  </si>
  <si>
    <t>Aug</t>
  </si>
  <si>
    <t>Sep</t>
  </si>
  <si>
    <t>Oct</t>
  </si>
  <si>
    <t>Nov</t>
  </si>
  <si>
    <t>Dec</t>
  </si>
  <si>
    <t>Margin</t>
  </si>
  <si>
    <t>Total Revenue Requirement</t>
  </si>
  <si>
    <t>Billing Units</t>
  </si>
  <si>
    <t>-----------</t>
  </si>
  <si>
    <t>SPEC</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</si>
  <si>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</si>
  <si>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</si>
  <si>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</si>
  <si>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</si>
  <si>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</si>
  <si>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</si>
  <si>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</si>
  <si>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</si>
  <si>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</si>
  <si>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</si>
  <si>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</si>
  <si>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</si>
  <si>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</si>
  <si>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</si>
  <si>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</si>
  <si>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</si>
  <si>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</si>
  <si>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</si>
  <si>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</si>
  <si>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Other Power Generation</t>
  </si>
  <si>
    <t>Fuel</t>
  </si>
  <si>
    <t>Generation Expense</t>
  </si>
  <si>
    <t>p321, L63</t>
  </si>
  <si>
    <t>p321, L64</t>
  </si>
  <si>
    <t>Other Power Supply Expense</t>
  </si>
  <si>
    <t>Purchased Power</t>
  </si>
  <si>
    <t>p321, L76</t>
  </si>
  <si>
    <t>Transmision Expense- Operation</t>
  </si>
  <si>
    <t>Operations Supervision &amp; Eng</t>
  </si>
  <si>
    <t>Transmission by Others</t>
  </si>
  <si>
    <t>p321, L83</t>
  </si>
  <si>
    <t>p321, L84</t>
  </si>
  <si>
    <t>p321, L93</t>
  </si>
  <si>
    <t>p321, L96</t>
  </si>
  <si>
    <t>p321, L78</t>
  </si>
  <si>
    <t>Distribution Expenses</t>
  </si>
  <si>
    <t>Meter Expense</t>
  </si>
  <si>
    <t>p322, L140</t>
  </si>
  <si>
    <t>Sales</t>
  </si>
  <si>
    <t>Demonstrating &amp; Selling</t>
  </si>
  <si>
    <t>p323, L175</t>
  </si>
  <si>
    <t>Administrative &amp; General</t>
  </si>
  <si>
    <t>Admin &amp; Gen Salaries</t>
  </si>
  <si>
    <t>Office Suppliers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</si>
  <si>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</si>
  <si>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</si>
  <si>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</si>
  <si>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</si>
  <si>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</si>
  <si>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</si>
  <si>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</si>
  <si>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</si>
  <si>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</si>
  <si>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</si>
  <si>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</si>
  <si>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</si>
  <si>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</si>
  <si>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</si>
  <si>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</si>
  <si>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</si>
  <si>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Transmission Expense - Maintenance</t>
  </si>
  <si>
    <t>p321, L107</t>
  </si>
  <si>
    <t>p321, L108</t>
  </si>
  <si>
    <t>Other Production Plant</t>
  </si>
  <si>
    <t>Generators</t>
  </si>
  <si>
    <t>p205, L38</t>
  </si>
  <si>
    <t>p205, L41</t>
  </si>
  <si>
    <t>Transmission Plant</t>
  </si>
  <si>
    <t>Overhead Condutor &amp; Devices</t>
  </si>
  <si>
    <t>p207, L48</t>
  </si>
  <si>
    <t>p207, L49</t>
  </si>
  <si>
    <t>p207, L52</t>
  </si>
  <si>
    <t>p207, L53</t>
  </si>
  <si>
    <t>p207, L56</t>
  </si>
  <si>
    <t>General Plant</t>
  </si>
  <si>
    <t>Office Furniture &amp; Equipment</t>
  </si>
  <si>
    <t>Transportation Equipment</t>
  </si>
  <si>
    <t>Communication Equipment</t>
  </si>
  <si>
    <t>Miscellaneous Equipment</t>
  </si>
  <si>
    <t>Other Tangible</t>
  </si>
  <si>
    <t>p207, L87</t>
  </si>
  <si>
    <t>p207, L88</t>
  </si>
  <si>
    <t>p207, L89</t>
  </si>
  <si>
    <t>p207, L94</t>
  </si>
  <si>
    <t>p207, L95</t>
  </si>
  <si>
    <t>p207, L97</t>
  </si>
  <si>
    <t>Total Electric Plant</t>
  </si>
  <si>
    <t>---------</t>
  </si>
  <si>
    <t>Transmission</t>
  </si>
  <si>
    <t>Other</t>
  </si>
  <si>
    <t>Distribution</t>
  </si>
  <si>
    <t>Load Control</t>
  </si>
  <si>
    <t>-------------</t>
  </si>
  <si>
    <t>------------</t>
  </si>
  <si>
    <t>ALANREED</t>
  </si>
  <si>
    <t>CLAUDE</t>
  </si>
  <si>
    <t>HOWARD 69</t>
  </si>
  <si>
    <t>KELLERVILLE</t>
  </si>
  <si>
    <t>CLARENDON</t>
  </si>
  <si>
    <t>SHAMROCK</t>
  </si>
  <si>
    <t>WELLINGTON</t>
  </si>
  <si>
    <t>GRAHAM INTERCHANG</t>
  </si>
  <si>
    <t>POST (YANCY)</t>
  </si>
  <si>
    <t>----------</t>
  </si>
  <si>
    <t>Level</t>
  </si>
  <si>
    <t>Summary of SPP 2010 Usage</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</si>
  <si>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</si>
  <si>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</si>
  <si>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</si>
  <si>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</si>
  <si>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</si>
  <si>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</si>
  <si>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</si>
  <si>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</si>
  <si>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</si>
  <si>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</si>
  <si>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</si>
  <si>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</si>
  <si>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POSEY</t>
  </si>
  <si>
    <t>REESE</t>
  </si>
  <si>
    <t>SHALLOWATER STATI</t>
  </si>
  <si>
    <t>SLATON</t>
  </si>
  <si>
    <t>RANSOM CANYON</t>
  </si>
  <si>
    <t>WOODROW</t>
  </si>
  <si>
    <t>YUMA</t>
  </si>
  <si>
    <t>CARLISLE STATION</t>
  </si>
  <si>
    <t>SP00000000-001</t>
  </si>
  <si>
    <t>SP00000000-002</t>
  </si>
  <si>
    <t>SP00000000-003</t>
  </si>
  <si>
    <t>Less: Reese</t>
  </si>
  <si>
    <t>Total Adjusted</t>
  </si>
  <si>
    <t>Load On</t>
  </si>
  <si>
    <t>Yes</t>
  </si>
  <si>
    <t>No</t>
  </si>
  <si>
    <t>Adjustments</t>
  </si>
  <si>
    <t>Adjusted Total</t>
  </si>
  <si>
    <t>Note:  GSEC owned transmission serves total SPEC load with exception of Reese.</t>
  </si>
  <si>
    <t>Note:  GSEC transmission serves all of the Big Country SPP load.</t>
  </si>
  <si>
    <t>Big Country  (SPP)</t>
  </si>
  <si>
    <t xml:space="preserve">Greenbelt   </t>
  </si>
  <si>
    <t>Wheeler</t>
  </si>
  <si>
    <t>Kelton</t>
  </si>
  <si>
    <t>Note:  Line from Howard 69 KV approximately 1 mile to tap near Wheeler Substation.  One tap goes to Wheeler Substation and the second is 18 miles to  Kelton.  Meter is at tap and reflects both Wheeler and Kelton Load.   Estimated 2010 Load</t>
  </si>
  <si>
    <t xml:space="preserve">Big Country </t>
  </si>
  <si>
    <t xml:space="preserve">Coleman </t>
  </si>
  <si>
    <t xml:space="preserve">Concho </t>
  </si>
  <si>
    <t xml:space="preserve">Greenbelt </t>
  </si>
  <si>
    <t xml:space="preserve">SPEC </t>
  </si>
  <si>
    <t>C2010 Transmission Plant Investment</t>
  </si>
  <si>
    <t>Plant Investment</t>
  </si>
  <si>
    <t>GOLDEN SPREAD ELECTRIC COOPERATIVE</t>
  </si>
  <si>
    <t>Total Transmission O&amp;M</t>
  </si>
  <si>
    <t>Station Expense GSEC</t>
  </si>
  <si>
    <t>Transmission SFA</t>
  </si>
  <si>
    <t>General</t>
  </si>
  <si>
    <t>Production</t>
  </si>
  <si>
    <t>p336, L6</t>
  </si>
  <si>
    <t>p336, L10</t>
  </si>
  <si>
    <t>Taxes Other Than Income Taxes</t>
  </si>
  <si>
    <t>p114, L14</t>
  </si>
  <si>
    <t>AF</t>
  </si>
  <si>
    <t>Summary of Allocation Factors</t>
  </si>
  <si>
    <t>Allocation of CY2010 Operating Expenses</t>
  </si>
  <si>
    <t>SCADA GSEC</t>
  </si>
  <si>
    <t>Common</t>
  </si>
  <si>
    <t>Other Expense (Letter of Credit)</t>
  </si>
  <si>
    <t>Acct 362 Adj for Big Country</t>
  </si>
  <si>
    <t xml:space="preserve">Acct 570 Adj for Big Country </t>
  </si>
  <si>
    <t>Acct 571 Adj for Big Country</t>
  </si>
  <si>
    <t>Property Insurance SFA</t>
  </si>
  <si>
    <t>---------------</t>
  </si>
  <si>
    <t>Summary of 12/31/2010 Plant Accounts</t>
  </si>
  <si>
    <t>BC</t>
  </si>
  <si>
    <t>SFA Interest</t>
  </si>
  <si>
    <t xml:space="preserve">Total Utility Operating Expenses </t>
  </si>
  <si>
    <t>Interest Expense</t>
  </si>
  <si>
    <t>Other Interest</t>
  </si>
  <si>
    <t>Non-operating Income</t>
  </si>
  <si>
    <t>Total Cost of Service</t>
  </si>
  <si>
    <t>Total SPP Trans</t>
  </si>
  <si>
    <t>SPP Trans</t>
  </si>
  <si>
    <t>Maintenance Station Equipment (1)</t>
  </si>
  <si>
    <t>Maintenance OH Lines (1)</t>
  </si>
  <si>
    <t>Note:</t>
  </si>
  <si>
    <t>Station Equipment Ratio</t>
  </si>
  <si>
    <t>Total Less 350 Ratio</t>
  </si>
  <si>
    <t>--------------</t>
  </si>
  <si>
    <t>Acct 355 + 356</t>
  </si>
  <si>
    <t xml:space="preserve">Total Less Acct 350 </t>
  </si>
  <si>
    <t xml:space="preserve">Acct  353 </t>
  </si>
  <si>
    <t xml:space="preserve">Big Country:Acct  353 </t>
  </si>
  <si>
    <t>Big Country: Acct 355 + 356</t>
  </si>
  <si>
    <t xml:space="preserve">Big Country: Total Less Acct 350 </t>
  </si>
  <si>
    <t xml:space="preserve">GSEC </t>
  </si>
  <si>
    <t>Trans Station Opr Exp GSEC</t>
  </si>
  <si>
    <t>Tranmssion</t>
  </si>
  <si>
    <t>BCEC Substation</t>
  </si>
  <si>
    <t>Greenbelt Substation</t>
  </si>
  <si>
    <t>SPEC Substation</t>
  </si>
  <si>
    <t>Direct Trans</t>
  </si>
  <si>
    <t>Acct 353</t>
  </si>
  <si>
    <t>BCEC Total Plant less 350</t>
  </si>
  <si>
    <t>Greebelt Total Plant less 350</t>
  </si>
  <si>
    <t>SPEC Total Plant less 350</t>
  </si>
  <si>
    <t>Allocation to SPP Transmission</t>
  </si>
  <si>
    <t>-------------------------------------------------------------</t>
  </si>
  <si>
    <t>(a)</t>
  </si>
  <si>
    <t>(b)</t>
  </si>
  <si>
    <t>( c)</t>
  </si>
  <si>
    <t>(d)</t>
  </si>
  <si>
    <t>(e)</t>
  </si>
  <si>
    <t>(f)</t>
  </si>
  <si>
    <t>(g)</t>
  </si>
  <si>
    <t>(h)</t>
  </si>
  <si>
    <t>---------------------------------------------------------------</t>
  </si>
  <si>
    <t>Summary of SPP Transmission Revenue Requirement</t>
  </si>
  <si>
    <t>Other Power Supply</t>
  </si>
  <si>
    <t>Power Generation</t>
  </si>
  <si>
    <t>Transmission O&amp;M</t>
  </si>
  <si>
    <t xml:space="preserve">Distribution </t>
  </si>
  <si>
    <t>Admin &amp; General</t>
  </si>
  <si>
    <t>Taxes other than IC</t>
  </si>
  <si>
    <t>Non Operating Income</t>
  </si>
  <si>
    <t>Rate</t>
  </si>
  <si>
    <t>$/kW/mon</t>
  </si>
  <si>
    <t>kW mon</t>
  </si>
  <si>
    <t>SCADA Investment</t>
  </si>
  <si>
    <t>Direct to Other</t>
  </si>
  <si>
    <t>SCADA Expense</t>
  </si>
  <si>
    <t>Load Control Expense</t>
  </si>
  <si>
    <t>Operation Supervision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</si>
  <si>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</si>
  <si>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</si>
  <si>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</si>
  <si>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</si>
  <si>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</si>
  <si>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</si>
  <si>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</si>
  <si>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</si>
  <si>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Admin &amp; Gen</t>
  </si>
  <si>
    <t>Bailey County</t>
  </si>
  <si>
    <t>Deaf Smith</t>
  </si>
  <si>
    <t>LIGHTHOUSE</t>
  </si>
  <si>
    <t>BIG COUNTRY</t>
  </si>
  <si>
    <t>NORTH PLAINS</t>
  </si>
  <si>
    <t>RITA BLANCA</t>
  </si>
  <si>
    <t>SOUTH PLAINS</t>
  </si>
  <si>
    <t>SWISHER</t>
  </si>
  <si>
    <t>TRI-COUNTY</t>
  </si>
  <si>
    <t>COLEMAN</t>
  </si>
  <si>
    <t>CONCHO</t>
  </si>
  <si>
    <t>SWTEC</t>
  </si>
  <si>
    <t>TAYLOR</t>
  </si>
  <si>
    <t>LYNTEGAR</t>
  </si>
  <si>
    <t>Delivery Points</t>
  </si>
  <si>
    <t>Transmission Expense</t>
  </si>
  <si>
    <t>--------------------------------------------------------------------</t>
  </si>
  <si>
    <t>$</t>
  </si>
  <si>
    <t>CY2009</t>
  </si>
  <si>
    <t>Reported</t>
  </si>
  <si>
    <t>Adj CY2010</t>
  </si>
  <si>
    <t>Notes:  Adj for 2009 Cost</t>
  </si>
  <si>
    <t>-------------------------------------------</t>
  </si>
  <si>
    <t>Annual</t>
  </si>
  <si>
    <t>Monthly</t>
  </si>
  <si>
    <t>Weekly</t>
  </si>
  <si>
    <t>Daily</t>
  </si>
  <si>
    <t>Hourly</t>
  </si>
  <si>
    <t>Reference</t>
  </si>
  <si>
    <t>--------------------</t>
  </si>
  <si>
    <t>L13/L15</t>
  </si>
  <si>
    <t>Schedule D1.0, L4</t>
  </si>
  <si>
    <t>Schedule D1.0, L11</t>
  </si>
  <si>
    <t>Schedule D1.0, L30</t>
  </si>
  <si>
    <t>Schedule D1.0, L34</t>
  </si>
  <si>
    <t>Schedule D1.0, L47</t>
  </si>
  <si>
    <t>Schedule D1.0, L56</t>
  </si>
  <si>
    <t>Schedule D1.0, L61</t>
  </si>
  <si>
    <t>Schedule D1.0, L71</t>
  </si>
  <si>
    <t>Sum L1..L10</t>
  </si>
  <si>
    <t>L11  + L12</t>
  </si>
  <si>
    <t>$/kW/yr</t>
  </si>
  <si>
    <t>$/kW/week</t>
  </si>
  <si>
    <t>$/kW/day</t>
  </si>
  <si>
    <t>$/kW/hour</t>
  </si>
  <si>
    <t>---------------------------------------</t>
  </si>
  <si>
    <t>SPP Trans &amp; Dist, Plant  AF</t>
  </si>
  <si>
    <t>SPP Transmission</t>
  </si>
  <si>
    <t>-----------------------------------------</t>
  </si>
  <si>
    <t xml:space="preserve">Long-Term Debt </t>
  </si>
  <si>
    <t>Account 224</t>
  </si>
  <si>
    <t>Account 231</t>
  </si>
  <si>
    <t>Beginning Bal</t>
  </si>
  <si>
    <t>Additions</t>
  </si>
  <si>
    <t>Payments</t>
  </si>
  <si>
    <t>Ending Bal</t>
  </si>
  <si>
    <t>LTD</t>
  </si>
  <si>
    <t>Notes Payable</t>
  </si>
  <si>
    <t>Principal</t>
  </si>
  <si>
    <t>Debt Svc</t>
  </si>
  <si>
    <t>Total Debt Service</t>
  </si>
  <si>
    <t>Allocation to SPP</t>
  </si>
  <si>
    <t>Big Country AF</t>
  </si>
  <si>
    <t>Greenbelt AF</t>
  </si>
  <si>
    <t>SPEC  AF</t>
  </si>
  <si>
    <t>Allocation To SPP Transmission</t>
  </si>
  <si>
    <t>Big</t>
  </si>
  <si>
    <t>Country</t>
  </si>
  <si>
    <t>DS</t>
  </si>
  <si>
    <t>Coverage</t>
  </si>
  <si>
    <t>Cash Req before DS</t>
  </si>
  <si>
    <t>Less: Depreciation</t>
  </si>
  <si>
    <t>Less: Interest</t>
  </si>
  <si>
    <t>Margin Required</t>
  </si>
  <si>
    <t>Plus: Depreciation</t>
  </si>
  <si>
    <t>Plus: Interest</t>
  </si>
  <si>
    <t>Cash Available Before DS</t>
  </si>
  <si>
    <t>Debt Service</t>
  </si>
  <si>
    <t>DSC</t>
  </si>
  <si>
    <t>Determination of Margin Requirements</t>
  </si>
  <si>
    <t xml:space="preserve">Margin Required </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</si>
  <si>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</si>
  <si>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</si>
  <si>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</si>
  <si>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</si>
  <si>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</si>
  <si>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 xml:space="preserve">   </t>
  </si>
  <si>
    <t xml:space="preserve"> is based on representative allocation factors based on an analysis of substation </t>
  </si>
  <si>
    <t>owned by GSEC.</t>
  </si>
  <si>
    <t>Funcitionalization of Distribution Substation Investment - Sample Data For GSEC Owned Substations</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</si>
  <si>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</si>
  <si>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</si>
  <si>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</si>
  <si>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</si>
  <si>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</si>
  <si>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</si>
  <si>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</si>
  <si>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</si>
  <si>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</si>
  <si>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</si>
  <si>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</si>
  <si>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</si>
  <si>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</si>
  <si>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</si>
  <si>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</si>
  <si>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</si>
  <si>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</si>
  <si>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</si>
  <si>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</si>
  <si>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</si>
  <si>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</si>
  <si>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</si>
  <si>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</si>
  <si>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</si>
  <si>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</si>
  <si>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</si>
  <si>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</si>
  <si>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</si>
  <si>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</si>
  <si>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</si>
  <si>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C1.0,f74,f2,f38,f50</t>
  </si>
  <si>
    <t>C1.0,f76,f4,f40,f52</t>
  </si>
  <si>
    <t>C1.0,f75,f3,f39,f51</t>
  </si>
  <si>
    <t>C1.0,f78,f6,f42,f54</t>
  </si>
  <si>
    <t>C1.0,f79,f7,f43,f55</t>
  </si>
  <si>
    <t>C1.0,f80,f8,f44,f56</t>
  </si>
  <si>
    <t>Load Dispatching</t>
  </si>
  <si>
    <t>Maintenance Supervision</t>
  </si>
  <si>
    <t>Maintenance OH Lines (Note 3)</t>
  </si>
  <si>
    <t>Station Operating Expense</t>
  </si>
  <si>
    <t xml:space="preserve">Maintenance OH Lines  </t>
  </si>
  <si>
    <t>Maintenance Station Equipment (Note 2)</t>
  </si>
  <si>
    <t>Station Operating Expense  (Note 1)</t>
  </si>
  <si>
    <t xml:space="preserve">Maintenance Station Equipment  </t>
  </si>
  <si>
    <t xml:space="preserve">E1.0,g74,g2,g38,g50 </t>
  </si>
  <si>
    <t xml:space="preserve">E1.0,g75,g3,g39,g51 </t>
  </si>
  <si>
    <t xml:space="preserve">E1.0,g78,g5,g41,g53 </t>
  </si>
  <si>
    <t xml:space="preserve">E1.0,g79,g6,g42,g54 </t>
  </si>
  <si>
    <t>C1.0,11c, 11d</t>
  </si>
  <si>
    <t>C1.0,10c,10d</t>
  </si>
  <si>
    <t>C1.0,10'c,10'd</t>
  </si>
  <si>
    <t>C1.0,11f,11g</t>
  </si>
  <si>
    <t>C1.0,47f,47g</t>
  </si>
  <si>
    <t>C1.0,59f,59g</t>
  </si>
  <si>
    <t>L38</t>
  </si>
  <si>
    <t>Expense AF</t>
  </si>
  <si>
    <t>Lamb County</t>
  </si>
  <si>
    <t>-----</t>
  </si>
  <si>
    <t xml:space="preserve">Station Expense  </t>
  </si>
  <si>
    <t>Maintenance Station Equipment</t>
  </si>
  <si>
    <t>Maintenance OH Lines</t>
  </si>
  <si>
    <t>E1.0,g80,g7,g43,g55</t>
  </si>
  <si>
    <t>E1.0,g81,g8,g44,g56</t>
  </si>
  <si>
    <t>E1.0,g82,g9,g45,g57</t>
  </si>
  <si>
    <t>E1.0,g83,g10,g46,g58</t>
  </si>
  <si>
    <t>10'</t>
  </si>
  <si>
    <t>(c)</t>
  </si>
  <si>
    <t>CY2010 Transmission Expenses</t>
  </si>
  <si>
    <t>Reference FERC Form 1 page 450.1 for notes.</t>
  </si>
  <si>
    <t>Schedule Page 321, Line 93, column: b</t>
  </si>
  <si>
    <t>Other Station Expenses - 2010</t>
  </si>
  <si>
    <t>Special Facilities - 2010</t>
  </si>
  <si>
    <t>Special Facilities - 2009</t>
  </si>
  <si>
    <t>Total Account 562</t>
  </si>
  <si>
    <t>Less: Special Facilities - 2009</t>
  </si>
  <si>
    <t>Adjusted total</t>
  </si>
  <si>
    <t>Schedule Page 321, Line 107 column b</t>
  </si>
  <si>
    <t>Total Account 570</t>
  </si>
  <si>
    <t>Less: Special Facilies - 2009</t>
  </si>
  <si>
    <t>Schedule Page 321, Line 108, column b</t>
  </si>
  <si>
    <t>Total Account 571</t>
  </si>
  <si>
    <t>Schedule D1.0, L68</t>
  </si>
  <si>
    <t>Schedule  H1.0, L6, cols e,f,g</t>
  </si>
  <si>
    <t>Schedule D1.0, L26</t>
  </si>
  <si>
    <t>L20 *12</t>
  </si>
  <si>
    <t>Schedule G1, L54, L6, L25, L52</t>
  </si>
  <si>
    <t>L19/52</t>
  </si>
  <si>
    <t>L21/5</t>
  </si>
  <si>
    <t>L22/16</t>
  </si>
  <si>
    <t>p207, L50 - L10</t>
  </si>
  <si>
    <t>p321, L77 - L9</t>
  </si>
  <si>
    <t>p323, L185 - L42</t>
  </si>
  <si>
    <t xml:space="preserve">Service </t>
  </si>
  <si>
    <t>Note:  Data from company's books and records</t>
  </si>
  <si>
    <t>Note:  Data from FERC Form 1</t>
  </si>
  <si>
    <t>Overhead Conductor &amp; Devices</t>
  </si>
  <si>
    <t>company books</t>
  </si>
  <si>
    <t>L61-L60</t>
  </si>
  <si>
    <t>p336, L7 - L54</t>
  </si>
  <si>
    <t>(a) Total</t>
  </si>
  <si>
    <t>(b) Owned by GSEC</t>
  </si>
  <si>
    <t>Big Country  SPP &amp; ERCOT, Plant AF</t>
  </si>
  <si>
    <t>Fixed</t>
  </si>
  <si>
    <t>p354, L20</t>
  </si>
  <si>
    <t>p354, L21</t>
  </si>
  <si>
    <t>p354, L22</t>
  </si>
  <si>
    <t>p354, L23</t>
  </si>
  <si>
    <t>p354, L24-26</t>
  </si>
  <si>
    <t>p354, L27</t>
  </si>
  <si>
    <t xml:space="preserve">D1.0,16a,c,d,e,f,g </t>
  </si>
  <si>
    <t xml:space="preserve">D1.0,15a,c,d,e,f,g </t>
  </si>
  <si>
    <t>K1.0,17c,6c,3c,9c</t>
  </si>
  <si>
    <t xml:space="preserve">D1.0,17a,c,d,e,f,g </t>
  </si>
  <si>
    <t xml:space="preserve">D1.0,18a,c,d,e,f,g </t>
  </si>
  <si>
    <t xml:space="preserve">D1.0,22a,c,d,e,f,g </t>
  </si>
  <si>
    <t xml:space="preserve">D1.0,23a,c,d,e,f,g </t>
  </si>
  <si>
    <t>B1.0, 4a,c,d,e,f,g</t>
  </si>
  <si>
    <t>B1.0, 14a,c,d,e,f,g</t>
  </si>
  <si>
    <t>Depreciation Rates</t>
  </si>
  <si>
    <t>Account</t>
  </si>
  <si>
    <t xml:space="preserve"> </t>
  </si>
  <si>
    <t>Note: Lines 10-13 will remain Fixed until a FPA Section 205 filing</t>
  </si>
  <si>
    <t>The DSC will remain fixed at 1.5 until a FPA Section 205 filing</t>
  </si>
  <si>
    <t>Development</t>
  </si>
  <si>
    <t>of</t>
  </si>
  <si>
    <t>2011 SPP Transmission Rates</t>
  </si>
</sst>
</file>

<file path=xl/styles.xml><?xml version="1.0" encoding="utf-8"?>
<styleSheet xmlns="http://schemas.openxmlformats.org/spreadsheetml/2006/main">
  <numFmts count="8">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_(* #,##0.000_);_(* \(#,##0.000\);_(* &quot;-&quot;??_);_(@_)"/>
  </numFmts>
  <fonts count="21">
    <font>
      <sz val="11"/>
      <color theme="1"/>
      <name val="Calibri"/>
      <family val="2"/>
      <scheme val="minor"/>
    </font>
    <font>
      <sz val="11"/>
      <color theme="1"/>
      <name val="Arial"/>
      <family val="2"/>
    </font>
    <font>
      <sz val="10"/>
      <color theme="1"/>
      <name val="Arial"/>
      <family val="2"/>
    </font>
    <font>
      <b/>
      <sz val="10"/>
      <color theme="1"/>
      <name val="Arial"/>
      <family val="2"/>
    </font>
    <font>
      <sz val="10"/>
      <name val="Arial"/>
      <family val="2"/>
    </font>
    <font>
      <sz val="11"/>
      <color theme="1"/>
      <name val="Calibri"/>
      <family val="2"/>
      <scheme val="minor"/>
    </font>
    <font>
      <b/>
      <sz val="11"/>
      <color theme="1"/>
      <name val="Calibri"/>
      <family val="2"/>
      <scheme val="minor"/>
    </font>
    <font>
      <sz val="12"/>
      <name val="Arial"/>
      <family val="2"/>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color theme="1"/>
      <name val="Calibri"/>
      <family val="2"/>
      <scheme val="minor"/>
    </font>
    <font>
      <sz val="10"/>
      <name val="Arial"/>
      <family val="2"/>
    </font>
    <font>
      <u/>
      <sz val="10"/>
      <name val="Arial"/>
      <family val="2"/>
    </font>
    <font>
      <sz val="11"/>
      <color rgb="FFFF0000"/>
      <name val="Calibri"/>
      <family val="2"/>
      <scheme val="minor"/>
    </font>
    <font>
      <sz val="11"/>
      <name val="Calibri"/>
      <family val="2"/>
      <scheme val="minor"/>
    </font>
    <font>
      <sz val="10"/>
      <color rgb="FFFF0000"/>
      <name val="Arial"/>
      <family val="2"/>
    </font>
  </fonts>
  <fills count="4">
    <fill>
      <patternFill patternType="none"/>
    </fill>
    <fill>
      <patternFill patternType="gray125"/>
    </fill>
    <fill>
      <patternFill patternType="gray0625">
        <fgColor indexed="8"/>
        <bgColor indexed="9"/>
      </patternFill>
    </fill>
    <fill>
      <patternFill patternType="solid">
        <fgColor rgb="FFFFFF00"/>
        <bgColor indexed="64"/>
      </patternFill>
    </fill>
  </fills>
  <borders count="5">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s>
  <cellStyleXfs count="26">
    <xf numFmtId="0" fontId="0" fillId="0" borderId="0"/>
    <xf numFmtId="0" fontId="4" fillId="0" borderId="0"/>
    <xf numFmtId="43" fontId="5" fillId="0" borderId="0" applyFont="0" applyFill="0" applyBorder="0" applyAlignment="0" applyProtection="0"/>
    <xf numFmtId="9" fontId="5" fillId="0" borderId="0" applyFont="0" applyFill="0" applyBorder="0" applyAlignment="0" applyProtection="0"/>
    <xf numFmtId="37" fontId="4" fillId="0" borderId="0">
      <alignment vertical="top"/>
    </xf>
    <xf numFmtId="0" fontId="4" fillId="0" borderId="0">
      <alignment vertical="top"/>
    </xf>
    <xf numFmtId="0" fontId="4" fillId="0" borderId="0"/>
    <xf numFmtId="40" fontId="4" fillId="0" borderId="0" applyFont="0" applyFill="0" applyBorder="0" applyAlignment="0" applyProtection="0"/>
    <xf numFmtId="10" fontId="4" fillId="0" borderId="0" applyFont="0" applyFill="0" applyBorder="0" applyAlignment="0" applyProtection="0"/>
    <xf numFmtId="4" fontId="8" fillId="0" borderId="0"/>
    <xf numFmtId="37" fontId="4" fillId="0" borderId="0" applyFont="0" applyFill="0" applyBorder="0" applyAlignment="0" applyProtection="0"/>
    <xf numFmtId="3" fontId="4" fillId="0" borderId="0" applyFont="0" applyFill="0" applyBorder="0" applyAlignment="0" applyProtection="0"/>
    <xf numFmtId="7"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3" fontId="11" fillId="2" borderId="0" applyFont="0" applyBorder="0" applyAlignment="0" applyProtection="0"/>
    <xf numFmtId="0" fontId="4" fillId="0" borderId="3" applyNumberFormat="0" applyFont="0" applyFill="0" applyAlignment="0" applyProtection="0"/>
    <xf numFmtId="0" fontId="16" fillId="0" borderId="0"/>
    <xf numFmtId="43" fontId="16" fillId="0" borderId="0" applyFont="0" applyFill="0" applyBorder="0" applyAlignment="0" applyProtection="0"/>
  </cellStyleXfs>
  <cellXfs count="157">
    <xf numFmtId="0" fontId="0" fillId="0" borderId="0" xfId="0"/>
    <xf numFmtId="0" fontId="1" fillId="0" borderId="0" xfId="0" applyFont="1"/>
    <xf numFmtId="44" fontId="1" fillId="0" borderId="0" xfId="0" applyNumberFormat="1" applyFont="1"/>
    <xf numFmtId="0" fontId="2" fillId="0" borderId="0" xfId="0" applyFont="1"/>
    <xf numFmtId="0" fontId="2" fillId="0" borderId="0" xfId="0" applyFont="1" applyAlignment="1">
      <alignment horizontal="center"/>
    </xf>
    <xf numFmtId="164" fontId="0" fillId="0" borderId="0" xfId="2" applyNumberFormat="1" applyFont="1"/>
    <xf numFmtId="0" fontId="6" fillId="0" borderId="1" xfId="0" applyFont="1" applyBorder="1"/>
    <xf numFmtId="0" fontId="0" fillId="0" borderId="0" xfId="0" applyAlignment="1">
      <alignment horizontal="center"/>
    </xf>
    <xf numFmtId="0" fontId="0" fillId="0" borderId="0" xfId="0" applyFill="1"/>
    <xf numFmtId="164" fontId="0" fillId="0" borderId="0" xfId="2" applyNumberFormat="1" applyFont="1" applyFill="1"/>
    <xf numFmtId="164" fontId="0" fillId="0" borderId="0" xfId="0" applyNumberFormat="1"/>
    <xf numFmtId="0" fontId="0" fillId="0" borderId="1" xfId="0" applyBorder="1"/>
    <xf numFmtId="0" fontId="0" fillId="0" borderId="0" xfId="0" applyBorder="1"/>
    <xf numFmtId="0" fontId="0" fillId="0" borderId="0" xfId="0" applyBorder="1" applyAlignment="1">
      <alignment horizontal="center"/>
    </xf>
    <xf numFmtId="0" fontId="0" fillId="0" borderId="0" xfId="0" applyFill="1" applyBorder="1"/>
    <xf numFmtId="10" fontId="0" fillId="0" borderId="0" xfId="3" applyNumberFormat="1" applyFont="1"/>
    <xf numFmtId="164" fontId="0" fillId="0" borderId="1" xfId="2" applyNumberFormat="1" applyFont="1" applyBorder="1"/>
    <xf numFmtId="0" fontId="0" fillId="0" borderId="2" xfId="0" applyBorder="1"/>
    <xf numFmtId="0" fontId="0" fillId="0" borderId="0" xfId="0" quotePrefix="1" applyAlignment="1">
      <alignment horizontal="center"/>
    </xf>
    <xf numFmtId="37" fontId="7" fillId="0" borderId="0" xfId="4" applyFont="1" applyAlignment="1">
      <alignment horizontal="centerContinuous"/>
    </xf>
    <xf numFmtId="37" fontId="4" fillId="0" borderId="0" xfId="4" applyAlignment="1"/>
    <xf numFmtId="0" fontId="4" fillId="0" borderId="0" xfId="5" applyAlignment="1"/>
    <xf numFmtId="0" fontId="4" fillId="0" borderId="0" xfId="6"/>
    <xf numFmtId="37" fontId="4" fillId="0" borderId="0" xfId="4" applyFont="1" applyAlignment="1">
      <alignment horizontal="center"/>
    </xf>
    <xf numFmtId="164" fontId="2" fillId="0" borderId="0" xfId="2" applyNumberFormat="1" applyFont="1"/>
    <xf numFmtId="0" fontId="0" fillId="0" borderId="0" xfId="0" quotePrefix="1"/>
    <xf numFmtId="43" fontId="0" fillId="0" borderId="0" xfId="2" applyFont="1"/>
    <xf numFmtId="43" fontId="0" fillId="0" borderId="0" xfId="0" applyNumberFormat="1"/>
    <xf numFmtId="0" fontId="0" fillId="3" borderId="0" xfId="0" applyFill="1"/>
    <xf numFmtId="0" fontId="13" fillId="0" borderId="0" xfId="0" applyFont="1"/>
    <xf numFmtId="0" fontId="14" fillId="0" borderId="0" xfId="0" applyFont="1"/>
    <xf numFmtId="165" fontId="12" fillId="0" borderId="0" xfId="0" applyNumberFormat="1" applyFont="1" applyAlignment="1">
      <alignment horizontal="left"/>
    </xf>
    <xf numFmtId="0" fontId="0" fillId="0" borderId="0" xfId="0" applyAlignment="1">
      <alignment horizontal="center"/>
    </xf>
    <xf numFmtId="164" fontId="0" fillId="0" borderId="2" xfId="2" applyNumberFormat="1" applyFont="1" applyBorder="1"/>
    <xf numFmtId="10" fontId="0" fillId="0" borderId="0" xfId="0" applyNumberFormat="1"/>
    <xf numFmtId="37" fontId="4" fillId="0" borderId="0" xfId="4" quotePrefix="1" applyAlignment="1"/>
    <xf numFmtId="10" fontId="4" fillId="0" borderId="0" xfId="3" applyNumberFormat="1" applyFont="1" applyAlignment="1"/>
    <xf numFmtId="14" fontId="0" fillId="0" borderId="0" xfId="0" applyNumberFormat="1" applyAlignment="1">
      <alignment horizontal="center"/>
    </xf>
    <xf numFmtId="164" fontId="0" fillId="0" borderId="1" xfId="0" applyNumberFormat="1" applyBorder="1"/>
    <xf numFmtId="164" fontId="2" fillId="0" borderId="0" xfId="2" applyNumberFormat="1" applyFont="1" applyBorder="1"/>
    <xf numFmtId="0" fontId="0" fillId="0" borderId="0" xfId="0" quotePrefix="1" applyAlignment="1">
      <alignment horizontal="center"/>
    </xf>
    <xf numFmtId="0" fontId="0" fillId="0" borderId="0" xfId="0" quotePrefix="1" applyAlignment="1">
      <alignment horizontal="center"/>
    </xf>
    <xf numFmtId="0" fontId="0" fillId="0" borderId="0" xfId="0" applyAlignment="1">
      <alignment horizontal="center"/>
    </xf>
    <xf numFmtId="164" fontId="2" fillId="0" borderId="0" xfId="0" applyNumberFormat="1" applyFont="1"/>
    <xf numFmtId="0" fontId="15" fillId="0" borderId="0" xfId="0" quotePrefix="1" applyFont="1" applyAlignment="1">
      <alignment horizontal="center"/>
    </xf>
    <xf numFmtId="0" fontId="2" fillId="0" borderId="0" xfId="0" quotePrefix="1" applyFont="1" applyAlignment="1">
      <alignment horizontal="center"/>
    </xf>
    <xf numFmtId="10" fontId="15" fillId="0" borderId="0" xfId="3" applyNumberFormat="1" applyFont="1"/>
    <xf numFmtId="0" fontId="0" fillId="0" borderId="0" xfId="0" applyAlignment="1">
      <alignment horizontal="center"/>
    </xf>
    <xf numFmtId="0" fontId="0" fillId="0" borderId="0" xfId="0" quotePrefix="1" applyAlignment="1">
      <alignment horizontal="center"/>
    </xf>
    <xf numFmtId="0" fontId="0" fillId="0" borderId="1" xfId="0" applyFill="1" applyBorder="1"/>
    <xf numFmtId="164" fontId="0" fillId="0" borderId="0" xfId="0" applyNumberFormat="1" applyFill="1"/>
    <xf numFmtId="0" fontId="0" fillId="0" borderId="0" xfId="0" applyAlignment="1">
      <alignment horizontal="center"/>
    </xf>
    <xf numFmtId="0" fontId="0" fillId="0" borderId="0" xfId="0" quotePrefix="1" applyAlignment="1">
      <alignment horizontal="center"/>
    </xf>
    <xf numFmtId="164" fontId="0" fillId="0" borderId="1" xfId="0" applyNumberFormat="1" applyFont="1" applyBorder="1"/>
    <xf numFmtId="0" fontId="0" fillId="0" borderId="0" xfId="0" applyAlignment="1">
      <alignment horizontal="center"/>
    </xf>
    <xf numFmtId="0" fontId="0" fillId="0" borderId="0" xfId="0" quotePrefix="1"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0" fillId="0" borderId="0" xfId="0" quotePrefix="1" applyAlignment="1">
      <alignment horizontal="center"/>
    </xf>
    <xf numFmtId="0" fontId="2" fillId="0" borderId="1" xfId="0" applyFont="1" applyBorder="1"/>
    <xf numFmtId="0" fontId="1" fillId="0" borderId="0" xfId="0" applyFont="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xf>
    <xf numFmtId="37" fontId="4" fillId="0" borderId="0" xfId="4" applyAlignment="1">
      <alignment horizontal="center"/>
    </xf>
    <xf numFmtId="37" fontId="4" fillId="0" borderId="0" xfId="4" quotePrefix="1" applyAlignment="1">
      <alignment horizontal="center"/>
    </xf>
    <xf numFmtId="164" fontId="2" fillId="0" borderId="0" xfId="2" quotePrefix="1" applyNumberFormat="1" applyFont="1" applyBorder="1"/>
    <xf numFmtId="164" fontId="2" fillId="0" borderId="1" xfId="0" applyNumberFormat="1" applyFont="1" applyBorder="1"/>
    <xf numFmtId="0" fontId="0" fillId="0" borderId="0" xfId="0" applyAlignment="1">
      <alignment horizontal="center"/>
    </xf>
    <xf numFmtId="0" fontId="1"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37" fontId="4" fillId="0" borderId="0" xfId="4" applyAlignment="1">
      <alignment horizontal="center"/>
    </xf>
    <xf numFmtId="0" fontId="0" fillId="0" borderId="0" xfId="0" quotePrefix="1" applyAlignment="1">
      <alignment horizontal="center"/>
    </xf>
    <xf numFmtId="0" fontId="3" fillId="0" borderId="1" xfId="0" applyFont="1" applyBorder="1"/>
    <xf numFmtId="164" fontId="4" fillId="0" borderId="0" xfId="2" applyNumberFormat="1" applyFont="1" applyAlignment="1"/>
    <xf numFmtId="37" fontId="4" fillId="0" borderId="1" xfId="4" applyBorder="1" applyAlignment="1"/>
    <xf numFmtId="14" fontId="15" fillId="0" borderId="0" xfId="0" applyNumberFormat="1" applyFont="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164" fontId="0" fillId="0" borderId="0" xfId="2" applyNumberFormat="1" applyFont="1" applyAlignment="1">
      <alignment horizontal="center"/>
    </xf>
    <xf numFmtId="0" fontId="0" fillId="0" borderId="0" xfId="0" applyAlignment="1">
      <alignment horizontal="center"/>
    </xf>
    <xf numFmtId="166" fontId="0" fillId="0" borderId="0" xfId="2" applyNumberFormat="1" applyFont="1"/>
    <xf numFmtId="0" fontId="0" fillId="0" borderId="0" xfId="0" applyAlignment="1">
      <alignment horizontal="center"/>
    </xf>
    <xf numFmtId="37" fontId="4" fillId="0" borderId="0" xfId="4" applyAlignment="1">
      <alignment horizontal="center"/>
    </xf>
    <xf numFmtId="37" fontId="4" fillId="0" borderId="0" xfId="4" applyAlignment="1">
      <alignment horizontal="center"/>
    </xf>
    <xf numFmtId="0" fontId="16" fillId="0" borderId="0" xfId="24"/>
    <xf numFmtId="0" fontId="17" fillId="0" borderId="0" xfId="24" applyFont="1" applyAlignment="1">
      <alignment horizontal="center"/>
    </xf>
    <xf numFmtId="49" fontId="16" fillId="0" borderId="0" xfId="24" applyNumberFormat="1"/>
    <xf numFmtId="43" fontId="0" fillId="0" borderId="0" xfId="25" applyFont="1" applyBorder="1"/>
    <xf numFmtId="43" fontId="16" fillId="0" borderId="0" xfId="24" applyNumberFormat="1"/>
    <xf numFmtId="0" fontId="16" fillId="0" borderId="0" xfId="24" applyBorder="1"/>
    <xf numFmtId="0" fontId="4" fillId="0" borderId="0" xfId="24" applyFont="1" applyBorder="1"/>
    <xf numFmtId="17" fontId="16" fillId="0" borderId="0" xfId="24" applyNumberFormat="1" applyBorder="1"/>
    <xf numFmtId="43" fontId="0" fillId="0" borderId="1" xfId="25" applyFont="1" applyBorder="1"/>
    <xf numFmtId="43" fontId="16" fillId="0" borderId="2" xfId="24" applyNumberFormat="1" applyBorder="1"/>
    <xf numFmtId="43" fontId="0" fillId="0" borderId="2" xfId="25" applyFont="1" applyBorder="1"/>
    <xf numFmtId="43" fontId="0" fillId="0" borderId="0" xfId="25" applyFont="1" applyAlignment="1">
      <alignment horizontal="center"/>
    </xf>
    <xf numFmtId="43" fontId="0" fillId="0" borderId="4" xfId="25" applyFont="1" applyBorder="1"/>
    <xf numFmtId="43" fontId="0" fillId="0" borderId="0" xfId="25" applyFont="1" applyBorder="1" applyAlignment="1">
      <alignment horizontal="center"/>
    </xf>
    <xf numFmtId="43" fontId="4" fillId="0" borderId="0" xfId="25" applyFont="1" applyBorder="1" applyAlignment="1">
      <alignment horizontal="center"/>
    </xf>
    <xf numFmtId="43" fontId="0" fillId="0" borderId="0" xfId="25" applyFont="1"/>
    <xf numFmtId="0" fontId="16" fillId="0" borderId="0" xfId="24" applyAlignment="1">
      <alignment horizontal="center"/>
    </xf>
    <xf numFmtId="164" fontId="16" fillId="0" borderId="0" xfId="2" applyNumberFormat="1" applyFont="1"/>
    <xf numFmtId="164" fontId="16" fillId="0" borderId="0" xfId="24" applyNumberFormat="1"/>
    <xf numFmtId="0" fontId="16" fillId="0" borderId="0" xfId="24" quotePrefix="1" applyAlignment="1">
      <alignment horizontal="center"/>
    </xf>
    <xf numFmtId="0" fontId="16" fillId="0" borderId="1" xfId="24" applyBorder="1"/>
    <xf numFmtId="0" fontId="16" fillId="0" borderId="0" xfId="24" applyFill="1"/>
    <xf numFmtId="0" fontId="16" fillId="0" borderId="1" xfId="24" applyFill="1" applyBorder="1"/>
    <xf numFmtId="0" fontId="16" fillId="0" borderId="0" xfId="24" applyFill="1" applyAlignment="1">
      <alignment horizontal="center"/>
    </xf>
    <xf numFmtId="0" fontId="0" fillId="0" borderId="0" xfId="0" applyAlignment="1">
      <alignment horizontal="center"/>
    </xf>
    <xf numFmtId="37" fontId="4" fillId="0" borderId="0" xfId="4" applyAlignment="1">
      <alignment horizontal="center"/>
    </xf>
    <xf numFmtId="164" fontId="2" fillId="0" borderId="1" xfId="2" applyNumberFormat="1" applyFont="1" applyBorder="1"/>
    <xf numFmtId="37" fontId="4" fillId="0" borderId="0" xfId="4" applyAlignment="1">
      <alignment horizontal="left"/>
    </xf>
    <xf numFmtId="164" fontId="18" fillId="0" borderId="0" xfId="2" applyNumberFormat="1" applyFont="1"/>
    <xf numFmtId="164" fontId="18" fillId="0" borderId="1" xfId="2" applyNumberFormat="1" applyFont="1" applyBorder="1"/>
    <xf numFmtId="164" fontId="18" fillId="0" borderId="1" xfId="0" applyNumberFormat="1" applyFont="1" applyBorder="1"/>
    <xf numFmtId="164" fontId="19" fillId="0" borderId="0" xfId="0" applyNumberFormat="1" applyFont="1"/>
    <xf numFmtId="164" fontId="19" fillId="0" borderId="1" xfId="0" applyNumberFormat="1" applyFont="1" applyBorder="1"/>
    <xf numFmtId="164" fontId="18" fillId="0" borderId="0" xfId="2" applyNumberFormat="1" applyFont="1" applyFill="1"/>
    <xf numFmtId="0" fontId="18" fillId="0" borderId="0" xfId="0" applyFont="1" applyFill="1"/>
    <xf numFmtId="0" fontId="18" fillId="0" borderId="1" xfId="0" applyFont="1" applyBorder="1"/>
    <xf numFmtId="0" fontId="18" fillId="0" borderId="0" xfId="0" applyFont="1"/>
    <xf numFmtId="164" fontId="20" fillId="0" borderId="0" xfId="2" applyNumberFormat="1" applyFont="1" applyBorder="1"/>
    <xf numFmtId="164" fontId="20" fillId="0" borderId="1" xfId="2" applyNumberFormat="1" applyFont="1" applyBorder="1"/>
    <xf numFmtId="164" fontId="18" fillId="0" borderId="0" xfId="2" applyNumberFormat="1" applyFont="1" applyFill="1" applyBorder="1"/>
    <xf numFmtId="164" fontId="18" fillId="0" borderId="0" xfId="2" applyNumberFormat="1" applyFont="1" applyBorder="1"/>
    <xf numFmtId="43" fontId="18" fillId="0" borderId="0" xfId="25" applyFont="1" applyBorder="1"/>
    <xf numFmtId="43" fontId="18" fillId="0" borderId="1" xfId="25" applyFont="1" applyBorder="1"/>
    <xf numFmtId="164" fontId="19" fillId="0" borderId="0" xfId="2" applyNumberFormat="1" applyFont="1"/>
    <xf numFmtId="164" fontId="20" fillId="0" borderId="0" xfId="2" applyNumberFormat="1" applyFont="1" applyAlignment="1"/>
    <xf numFmtId="10" fontId="18" fillId="0" borderId="0" xfId="3" applyNumberFormat="1" applyFont="1"/>
    <xf numFmtId="164" fontId="4" fillId="0" borderId="0" xfId="2" applyNumberFormat="1" applyFont="1"/>
    <xf numFmtId="0" fontId="0" fillId="0" borderId="0" xfId="0" applyAlignment="1">
      <alignment horizontal="center"/>
    </xf>
    <xf numFmtId="164" fontId="18" fillId="0" borderId="0" xfId="0" applyNumberFormat="1" applyFont="1"/>
    <xf numFmtId="0" fontId="0" fillId="0" borderId="0" xfId="0" applyAlignment="1">
      <alignment horizontal="left"/>
    </xf>
    <xf numFmtId="0" fontId="0" fillId="0" borderId="0" xfId="0" applyAlignment="1">
      <alignment horizontal="center"/>
    </xf>
    <xf numFmtId="0" fontId="0" fillId="0" borderId="0" xfId="0" applyAlignment="1">
      <alignment horizontal="center"/>
    </xf>
    <xf numFmtId="164" fontId="18" fillId="0" borderId="0" xfId="0" applyNumberFormat="1" applyFont="1" applyBorder="1"/>
    <xf numFmtId="37" fontId="20" fillId="0" borderId="0" xfId="4" applyFont="1" applyAlignment="1"/>
    <xf numFmtId="41" fontId="0" fillId="0" borderId="0" xfId="2" applyNumberFormat="1" applyFont="1" applyBorder="1"/>
    <xf numFmtId="9" fontId="4" fillId="0" borderId="0" xfId="3" applyFont="1" applyAlignment="1"/>
    <xf numFmtId="0" fontId="0" fillId="0" borderId="0" xfId="0" applyAlignment="1">
      <alignment horizontal="centerContinuous"/>
    </xf>
    <xf numFmtId="37" fontId="4" fillId="0" borderId="0" xfId="4" applyBorder="1" applyAlignment="1"/>
    <xf numFmtId="0" fontId="0" fillId="0" borderId="0" xfId="0" applyAlignment="1">
      <alignment horizontal="center"/>
    </xf>
    <xf numFmtId="37" fontId="4" fillId="0" borderId="0" xfId="4" applyAlignment="1">
      <alignment horizontal="center"/>
    </xf>
    <xf numFmtId="0" fontId="4" fillId="0" borderId="0" xfId="24" applyFont="1" applyAlignment="1">
      <alignment horizontal="center"/>
    </xf>
    <xf numFmtId="0" fontId="0" fillId="0" borderId="0" xfId="0" applyAlignment="1">
      <alignment horizontal="center"/>
    </xf>
    <xf numFmtId="37" fontId="4" fillId="0" borderId="0" xfId="4" applyAlignment="1">
      <alignment horizontal="center"/>
    </xf>
    <xf numFmtId="43" fontId="19" fillId="0" borderId="0" xfId="2" applyFont="1"/>
    <xf numFmtId="39" fontId="4" fillId="0" borderId="0" xfId="4" applyNumberFormat="1" applyFont="1" applyAlignment="1"/>
    <xf numFmtId="37" fontId="4" fillId="0" borderId="0" xfId="4" applyFont="1" applyAlignment="1"/>
    <xf numFmtId="0" fontId="0" fillId="0" borderId="0" xfId="0" applyAlignment="1">
      <alignment horizontal="center"/>
    </xf>
    <xf numFmtId="0" fontId="0" fillId="0" borderId="0" xfId="0" quotePrefix="1" applyAlignment="1">
      <alignment horizontal="center"/>
    </xf>
    <xf numFmtId="0" fontId="1" fillId="0" borderId="0" xfId="0" applyFont="1" applyAlignment="1">
      <alignment horizontal="center"/>
    </xf>
    <xf numFmtId="37" fontId="4" fillId="0" borderId="0" xfId="4" applyAlignment="1">
      <alignment horizontal="center"/>
    </xf>
    <xf numFmtId="0" fontId="10" fillId="0" borderId="0" xfId="24" applyFont="1" applyAlignment="1">
      <alignment horizontal="center"/>
    </xf>
  </cellXfs>
  <cellStyles count="26">
    <cellStyle name="BoldU" xfId="9"/>
    <cellStyle name="Comma" xfId="2" builtinId="3"/>
    <cellStyle name="Comma 2" xfId="7"/>
    <cellStyle name="Comma 3" xfId="25"/>
    <cellStyle name="Comma0" xfId="10"/>
    <cellStyle name="Comma0 2" xfId="11"/>
    <cellStyle name="Currency 2" xfId="12"/>
    <cellStyle name="Currency0" xfId="13"/>
    <cellStyle name="Currency0 2" xfId="14"/>
    <cellStyle name="Date" xfId="15"/>
    <cellStyle name="Date 2" xfId="16"/>
    <cellStyle name="Fixed" xfId="17"/>
    <cellStyle name="Fixed 2" xfId="18"/>
    <cellStyle name="Heading 1 2" xfId="19"/>
    <cellStyle name="Heading 2 2" xfId="20"/>
    <cellStyle name="Input(Normal)" xfId="21"/>
    <cellStyle name="Input0" xfId="22"/>
    <cellStyle name="Normal" xfId="0" builtinId="0"/>
    <cellStyle name="Normal 2" xfId="1"/>
    <cellStyle name="Normal 3" xfId="4"/>
    <cellStyle name="Normal 4" xfId="24"/>
    <cellStyle name="Normal_MVEC_TCOS" xfId="5"/>
    <cellStyle name="Normal_SubSummary" xfId="6"/>
    <cellStyle name="Percent" xfId="3" builtinId="5"/>
    <cellStyle name="Percent 2" xfId="8"/>
    <cellStyle name="Total 2"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CStover\TCOS\GSEC_TCOS_Amended_05-03-2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6:B19"/>
  <sheetViews>
    <sheetView workbookViewId="0"/>
  </sheetViews>
  <sheetFormatPr defaultRowHeight="15"/>
  <cols>
    <col min="1" max="1" width="3" customWidth="1"/>
    <col min="2" max="2" width="27.85546875" customWidth="1"/>
  </cols>
  <sheetData>
    <row r="6" spans="2:2" ht="36">
      <c r="B6" s="30" t="s">
        <v>176</v>
      </c>
    </row>
    <row r="11" spans="2:2" ht="23.25">
      <c r="B11" s="29" t="s">
        <v>479</v>
      </c>
    </row>
    <row r="12" spans="2:2" ht="23.25">
      <c r="B12" s="29" t="s">
        <v>480</v>
      </c>
    </row>
    <row r="13" spans="2:2" ht="23.25">
      <c r="B13" s="29" t="s">
        <v>481</v>
      </c>
    </row>
    <row r="19" spans="2:2" ht="18.75">
      <c r="B19" s="31">
        <v>40962</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I67"/>
  <sheetViews>
    <sheetView view="pageLayout" topLeftCell="A47" workbookViewId="0">
      <selection activeCell="A2" sqref="A2:G2"/>
    </sheetView>
  </sheetViews>
  <sheetFormatPr defaultRowHeight="12.75"/>
  <cols>
    <col min="1" max="1" width="3.85546875" style="86" customWidth="1"/>
    <col min="2" max="2" width="13.5703125" style="86" customWidth="1"/>
    <col min="3" max="3" width="16.85546875" style="86" customWidth="1"/>
    <col min="4" max="4" width="4.28515625" style="86" customWidth="1"/>
    <col min="5" max="5" width="16.85546875" style="86" customWidth="1"/>
    <col min="6" max="6" width="4.28515625" style="86" customWidth="1"/>
    <col min="7" max="7" width="27.42578125" style="86" bestFit="1" customWidth="1"/>
    <col min="8" max="8" width="9.140625" style="86"/>
    <col min="9" max="9" width="12.85546875" style="86" bestFit="1" customWidth="1"/>
    <col min="10" max="10" width="11.42578125" style="86" bestFit="1" customWidth="1"/>
    <col min="11" max="11" width="11.28515625" style="86" bestFit="1" customWidth="1"/>
    <col min="12" max="12" width="12.85546875" style="86" bestFit="1" customWidth="1"/>
    <col min="13" max="16384" width="9.140625" style="86"/>
  </cols>
  <sheetData>
    <row r="1" spans="1:9" ht="15.75">
      <c r="A1" s="156" t="s">
        <v>30</v>
      </c>
      <c r="B1" s="156"/>
      <c r="C1" s="156"/>
      <c r="D1" s="156"/>
      <c r="E1" s="156"/>
      <c r="F1" s="156"/>
      <c r="G1" s="156"/>
    </row>
    <row r="2" spans="1:9" ht="15.75">
      <c r="A2" s="156" t="s">
        <v>315</v>
      </c>
      <c r="B2" s="156"/>
      <c r="C2" s="156"/>
      <c r="D2" s="156"/>
      <c r="E2" s="156"/>
      <c r="F2" s="156"/>
      <c r="G2" s="156"/>
    </row>
    <row r="3" spans="1:9" ht="15.75">
      <c r="A3" s="156" t="s">
        <v>0</v>
      </c>
      <c r="B3" s="156"/>
      <c r="C3" s="156"/>
      <c r="D3" s="156"/>
      <c r="E3" s="156"/>
      <c r="F3" s="156"/>
      <c r="G3" s="156"/>
    </row>
    <row r="4" spans="1:9" ht="15">
      <c r="B4" s="135" t="s">
        <v>449</v>
      </c>
    </row>
    <row r="5" spans="1:9">
      <c r="C5" s="102" t="s">
        <v>232</v>
      </c>
      <c r="D5" s="102"/>
      <c r="E5" s="102" t="s">
        <v>233</v>
      </c>
      <c r="F5" s="102"/>
      <c r="G5" s="102" t="s">
        <v>234</v>
      </c>
    </row>
    <row r="7" spans="1:9">
      <c r="C7" s="102" t="s">
        <v>322</v>
      </c>
      <c r="D7" s="102"/>
      <c r="E7" s="102" t="s">
        <v>323</v>
      </c>
    </row>
    <row r="8" spans="1:9">
      <c r="C8" s="87" t="s">
        <v>316</v>
      </c>
      <c r="D8" s="87"/>
      <c r="E8" s="87" t="s">
        <v>317</v>
      </c>
      <c r="F8" s="87"/>
      <c r="G8" s="87" t="s">
        <v>2</v>
      </c>
    </row>
    <row r="10" spans="1:9" ht="15">
      <c r="A10" s="102">
        <v>1</v>
      </c>
      <c r="B10" s="88" t="s">
        <v>29</v>
      </c>
      <c r="C10" s="127">
        <v>4594059.32</v>
      </c>
      <c r="D10" s="89"/>
      <c r="E10" s="127">
        <v>58929.09</v>
      </c>
      <c r="F10" s="89"/>
      <c r="G10" s="89">
        <f>SUM(C10:F10)</f>
        <v>4652988.41</v>
      </c>
    </row>
    <row r="11" spans="1:9" ht="15">
      <c r="A11" s="102">
        <f>+A10+1</f>
        <v>2</v>
      </c>
      <c r="B11" s="88" t="s">
        <v>27</v>
      </c>
      <c r="C11" s="127">
        <v>5700125.1299999999</v>
      </c>
      <c r="D11" s="89"/>
      <c r="E11" s="127">
        <v>343801.59999999998</v>
      </c>
      <c r="F11" s="89"/>
      <c r="G11" s="89">
        <f>SUM(C11:F11)</f>
        <v>6043926.7299999995</v>
      </c>
    </row>
    <row r="12" spans="1:9" ht="15">
      <c r="A12" s="102">
        <f t="shared" ref="A12:A45" si="0">+A11+1</f>
        <v>3</v>
      </c>
      <c r="B12" s="91" t="s">
        <v>28</v>
      </c>
      <c r="C12" s="127">
        <v>509774.08000000002</v>
      </c>
      <c r="D12" s="89"/>
      <c r="E12" s="127"/>
      <c r="F12" s="89"/>
      <c r="G12" s="89">
        <f>SUM(C12:F12)</f>
        <v>509774.08000000002</v>
      </c>
    </row>
    <row r="13" spans="1:9" ht="15">
      <c r="A13" s="102">
        <f t="shared" si="0"/>
        <v>4</v>
      </c>
      <c r="B13" s="92" t="s">
        <v>26</v>
      </c>
      <c r="C13" s="127">
        <v>0</v>
      </c>
      <c r="D13" s="89"/>
      <c r="E13" s="127">
        <v>5500856.0300000003</v>
      </c>
      <c r="F13" s="89"/>
      <c r="G13" s="89">
        <f>SUM(C13:F13)</f>
        <v>5500856.0300000003</v>
      </c>
    </row>
    <row r="14" spans="1:9" ht="15">
      <c r="A14" s="102">
        <f t="shared" si="0"/>
        <v>5</v>
      </c>
      <c r="B14" s="93" t="s">
        <v>43</v>
      </c>
      <c r="C14" s="128">
        <v>8289762.8900000006</v>
      </c>
      <c r="D14" s="89"/>
      <c r="E14" s="128">
        <v>5409072.0499999998</v>
      </c>
      <c r="F14" s="89"/>
      <c r="G14" s="94">
        <f>SUM(C14:F14)</f>
        <v>13698834.940000001</v>
      </c>
      <c r="I14" s="90"/>
    </row>
    <row r="15" spans="1:9" ht="15.75" thickBot="1">
      <c r="A15" s="102">
        <f t="shared" si="0"/>
        <v>6</v>
      </c>
      <c r="B15" s="92" t="s">
        <v>264</v>
      </c>
      <c r="C15" s="95">
        <f>SUM(C10:C14)</f>
        <v>19093721.420000002</v>
      </c>
      <c r="D15" s="91"/>
      <c r="E15" s="95">
        <f>SUM(E10:E14)</f>
        <v>11312658.77</v>
      </c>
      <c r="F15" s="91"/>
      <c r="G15" s="96">
        <f>SUM(G10:G14)</f>
        <v>30406380.190000001</v>
      </c>
    </row>
    <row r="16" spans="1:9" ht="15.75" thickTop="1">
      <c r="A16" s="102">
        <f t="shared" si="0"/>
        <v>7</v>
      </c>
      <c r="B16" s="91"/>
      <c r="C16" s="91"/>
      <c r="D16" s="91"/>
      <c r="F16" s="91"/>
      <c r="G16" s="89"/>
    </row>
    <row r="17" spans="1:7" ht="15">
      <c r="A17" s="102">
        <f t="shared" si="0"/>
        <v>8</v>
      </c>
      <c r="B17" s="91"/>
      <c r="C17" s="97" t="s">
        <v>29</v>
      </c>
      <c r="D17" s="89"/>
      <c r="E17" s="97" t="s">
        <v>29</v>
      </c>
      <c r="F17" s="89"/>
      <c r="G17" s="97" t="s">
        <v>29</v>
      </c>
    </row>
    <row r="18" spans="1:7" ht="15">
      <c r="A18" s="102">
        <f t="shared" si="0"/>
        <v>9</v>
      </c>
      <c r="B18" s="91" t="s">
        <v>318</v>
      </c>
      <c r="C18" s="127">
        <v>4645969.46</v>
      </c>
      <c r="D18" s="89"/>
      <c r="E18" s="127">
        <v>0</v>
      </c>
      <c r="F18" s="89"/>
      <c r="G18" s="89">
        <f>SUM(C18:F18)</f>
        <v>4645969.46</v>
      </c>
    </row>
    <row r="19" spans="1:7" ht="15">
      <c r="A19" s="102">
        <f t="shared" si="0"/>
        <v>10</v>
      </c>
      <c r="B19" s="91" t="s">
        <v>319</v>
      </c>
      <c r="C19" s="127">
        <v>0</v>
      </c>
      <c r="D19" s="89"/>
      <c r="E19" s="127">
        <v>58929.09</v>
      </c>
      <c r="F19" s="89"/>
      <c r="G19" s="89">
        <f>SUM(C19:F19)</f>
        <v>58929.09</v>
      </c>
    </row>
    <row r="20" spans="1:7" ht="15">
      <c r="A20" s="102">
        <f t="shared" si="0"/>
        <v>11</v>
      </c>
      <c r="B20" s="91" t="s">
        <v>320</v>
      </c>
      <c r="C20" s="127">
        <v>51910.14</v>
      </c>
      <c r="D20" s="89"/>
      <c r="E20" s="127">
        <v>0</v>
      </c>
      <c r="F20" s="89"/>
      <c r="G20" s="89">
        <f>SUM(C20:F20)</f>
        <v>51910.14</v>
      </c>
    </row>
    <row r="21" spans="1:7" ht="15.75" thickBot="1">
      <c r="A21" s="102">
        <f t="shared" si="0"/>
        <v>12</v>
      </c>
      <c r="B21" s="91" t="s">
        <v>321</v>
      </c>
      <c r="C21" s="98">
        <f>+C18+C19-C20</f>
        <v>4594059.32</v>
      </c>
      <c r="D21" s="89"/>
      <c r="E21" s="98">
        <f>+E18+E19-E20</f>
        <v>58929.09</v>
      </c>
      <c r="F21" s="89"/>
      <c r="G21" s="98">
        <f>+G18+G19-G20</f>
        <v>4652988.41</v>
      </c>
    </row>
    <row r="22" spans="1:7" ht="15.75" thickTop="1">
      <c r="A22" s="102">
        <f t="shared" si="0"/>
        <v>13</v>
      </c>
      <c r="B22" s="91"/>
      <c r="C22" s="89"/>
      <c r="D22" s="89"/>
      <c r="E22" s="89"/>
      <c r="F22" s="89"/>
      <c r="G22" s="89"/>
    </row>
    <row r="23" spans="1:7" ht="15">
      <c r="A23" s="102">
        <f t="shared" si="0"/>
        <v>14</v>
      </c>
      <c r="B23" s="91"/>
      <c r="C23" s="97" t="s">
        <v>27</v>
      </c>
      <c r="D23" s="89"/>
      <c r="E23" s="97" t="s">
        <v>27</v>
      </c>
      <c r="F23" s="89"/>
      <c r="G23" s="97" t="s">
        <v>27</v>
      </c>
    </row>
    <row r="24" spans="1:7" ht="15">
      <c r="A24" s="102">
        <f t="shared" si="0"/>
        <v>15</v>
      </c>
      <c r="B24" s="91" t="s">
        <v>318</v>
      </c>
      <c r="C24" s="127">
        <v>5788886.9299999997</v>
      </c>
      <c r="D24" s="89"/>
      <c r="E24" s="127">
        <v>0</v>
      </c>
      <c r="F24" s="89"/>
      <c r="G24" s="89">
        <f>SUM(C24:F24)</f>
        <v>5788886.9299999997</v>
      </c>
    </row>
    <row r="25" spans="1:7" ht="15">
      <c r="A25" s="102">
        <f t="shared" si="0"/>
        <v>16</v>
      </c>
      <c r="B25" s="91" t="s">
        <v>319</v>
      </c>
      <c r="C25" s="127">
        <v>0</v>
      </c>
      <c r="D25" s="89"/>
      <c r="E25" s="127">
        <v>343801.59999999998</v>
      </c>
      <c r="F25" s="89"/>
      <c r="G25" s="89">
        <f>SUM(C25:F25)</f>
        <v>343801.59999999998</v>
      </c>
    </row>
    <row r="26" spans="1:7" ht="15">
      <c r="A26" s="102">
        <f t="shared" si="0"/>
        <v>17</v>
      </c>
      <c r="B26" s="91" t="s">
        <v>320</v>
      </c>
      <c r="C26" s="127">
        <v>88761.8</v>
      </c>
      <c r="D26" s="89"/>
      <c r="E26" s="127">
        <v>0</v>
      </c>
      <c r="F26" s="89"/>
      <c r="G26" s="89">
        <f>SUM(C26:F26)</f>
        <v>88761.8</v>
      </c>
    </row>
    <row r="27" spans="1:7" ht="15.75" thickBot="1">
      <c r="A27" s="102">
        <f t="shared" si="0"/>
        <v>18</v>
      </c>
      <c r="B27" s="91" t="s">
        <v>321</v>
      </c>
      <c r="C27" s="98">
        <f>+C24+C25-C26</f>
        <v>5700125.1299999999</v>
      </c>
      <c r="D27" s="89"/>
      <c r="E27" s="98">
        <f>+E24+E25-E26</f>
        <v>343801.59999999998</v>
      </c>
      <c r="F27" s="89"/>
      <c r="G27" s="98">
        <f>+G24+G25-G26</f>
        <v>6043926.7299999995</v>
      </c>
    </row>
    <row r="28" spans="1:7" ht="15.75" thickTop="1">
      <c r="A28" s="102">
        <f t="shared" si="0"/>
        <v>19</v>
      </c>
      <c r="B28" s="91"/>
      <c r="C28" s="89"/>
      <c r="D28" s="89"/>
      <c r="E28" s="89"/>
      <c r="F28" s="89"/>
      <c r="G28" s="89"/>
    </row>
    <row r="29" spans="1:7" ht="15">
      <c r="A29" s="102">
        <f t="shared" si="0"/>
        <v>20</v>
      </c>
      <c r="B29" s="91"/>
      <c r="C29" s="99" t="s">
        <v>28</v>
      </c>
      <c r="D29" s="89"/>
      <c r="E29" s="99" t="s">
        <v>28</v>
      </c>
      <c r="F29" s="89"/>
      <c r="G29" s="99" t="s">
        <v>28</v>
      </c>
    </row>
    <row r="30" spans="1:7" ht="15">
      <c r="A30" s="102">
        <f t="shared" si="0"/>
        <v>21</v>
      </c>
      <c r="B30" s="91" t="s">
        <v>318</v>
      </c>
      <c r="C30" s="127">
        <v>520217.36</v>
      </c>
      <c r="D30" s="89"/>
      <c r="E30" s="127">
        <v>0</v>
      </c>
      <c r="F30" s="89"/>
      <c r="G30" s="89">
        <f>SUM(C30:F30)</f>
        <v>520217.36</v>
      </c>
    </row>
    <row r="31" spans="1:7" ht="15">
      <c r="A31" s="102">
        <f t="shared" si="0"/>
        <v>22</v>
      </c>
      <c r="B31" s="91" t="s">
        <v>319</v>
      </c>
      <c r="C31" s="127">
        <v>0</v>
      </c>
      <c r="D31" s="89"/>
      <c r="E31" s="127">
        <v>0</v>
      </c>
      <c r="F31" s="89"/>
      <c r="G31" s="89">
        <f>SUM(C31:F31)</f>
        <v>0</v>
      </c>
    </row>
    <row r="32" spans="1:7" ht="15">
      <c r="A32" s="102">
        <f t="shared" si="0"/>
        <v>23</v>
      </c>
      <c r="B32" s="91" t="s">
        <v>320</v>
      </c>
      <c r="C32" s="127">
        <v>10443.280000000001</v>
      </c>
      <c r="D32" s="89"/>
      <c r="E32" s="127">
        <v>0</v>
      </c>
      <c r="F32" s="89"/>
      <c r="G32" s="89">
        <f>SUM(C32:F32)</f>
        <v>10443.280000000001</v>
      </c>
    </row>
    <row r="33" spans="1:7" ht="15.75" thickBot="1">
      <c r="A33" s="102">
        <f t="shared" si="0"/>
        <v>24</v>
      </c>
      <c r="B33" s="91" t="s">
        <v>321</v>
      </c>
      <c r="C33" s="98">
        <f>+C30+C31-C32</f>
        <v>509774.07999999996</v>
      </c>
      <c r="D33" s="89"/>
      <c r="E33" s="98">
        <f>+E30+E31-E32</f>
        <v>0</v>
      </c>
      <c r="F33" s="89"/>
      <c r="G33" s="98">
        <f>+G30+G31-G32</f>
        <v>509774.07999999996</v>
      </c>
    </row>
    <row r="34" spans="1:7" ht="15.75" thickTop="1">
      <c r="A34" s="102">
        <f t="shared" si="0"/>
        <v>25</v>
      </c>
      <c r="B34" s="91"/>
      <c r="C34" s="89"/>
      <c r="D34" s="89"/>
      <c r="E34" s="89"/>
      <c r="F34" s="89"/>
      <c r="G34" s="89"/>
    </row>
    <row r="35" spans="1:7" ht="15">
      <c r="A35" s="102">
        <f t="shared" si="0"/>
        <v>26</v>
      </c>
      <c r="B35" s="91"/>
      <c r="C35" s="100" t="s">
        <v>26</v>
      </c>
      <c r="D35" s="89"/>
      <c r="E35" s="100" t="s">
        <v>26</v>
      </c>
      <c r="F35" s="89"/>
      <c r="G35" s="100" t="s">
        <v>26</v>
      </c>
    </row>
    <row r="36" spans="1:7" ht="15">
      <c r="A36" s="102">
        <f t="shared" si="0"/>
        <v>27</v>
      </c>
      <c r="B36" s="91" t="s">
        <v>318</v>
      </c>
      <c r="C36" s="127">
        <v>0</v>
      </c>
      <c r="D36" s="89"/>
      <c r="E36" s="127">
        <v>5455206.0999999996</v>
      </c>
      <c r="F36" s="89"/>
      <c r="G36" s="89">
        <f>SUM(C36:F36)</f>
        <v>5455206.0999999996</v>
      </c>
    </row>
    <row r="37" spans="1:7" ht="15">
      <c r="A37" s="102">
        <f t="shared" si="0"/>
        <v>28</v>
      </c>
      <c r="B37" s="91" t="s">
        <v>319</v>
      </c>
      <c r="C37" s="127">
        <v>0</v>
      </c>
      <c r="D37" s="89"/>
      <c r="E37" s="127">
        <v>45649.93</v>
      </c>
      <c r="F37" s="89"/>
      <c r="G37" s="89">
        <f>SUM(C37:F37)</f>
        <v>45649.93</v>
      </c>
    </row>
    <row r="38" spans="1:7" ht="15">
      <c r="A38" s="102">
        <f t="shared" si="0"/>
        <v>29</v>
      </c>
      <c r="B38" s="91" t="s">
        <v>320</v>
      </c>
      <c r="C38" s="127">
        <v>0</v>
      </c>
      <c r="D38" s="89"/>
      <c r="E38" s="127">
        <v>0</v>
      </c>
      <c r="F38" s="89"/>
      <c r="G38" s="89">
        <f>SUM(C38:F38)</f>
        <v>0</v>
      </c>
    </row>
    <row r="39" spans="1:7" ht="15.75" thickBot="1">
      <c r="A39" s="102">
        <f t="shared" si="0"/>
        <v>30</v>
      </c>
      <c r="B39" s="91" t="s">
        <v>321</v>
      </c>
      <c r="C39" s="98">
        <f>+C36+C37-C38</f>
        <v>0</v>
      </c>
      <c r="D39" s="89"/>
      <c r="E39" s="98">
        <f>+E36+E37-E38</f>
        <v>5500856.0299999993</v>
      </c>
      <c r="F39" s="89"/>
      <c r="G39" s="98">
        <f>+G36+G37-G38</f>
        <v>5500856.0299999993</v>
      </c>
    </row>
    <row r="40" spans="1:7" ht="15.75" thickTop="1">
      <c r="A40" s="102">
        <f t="shared" si="0"/>
        <v>31</v>
      </c>
      <c r="B40" s="91"/>
      <c r="C40" s="89"/>
      <c r="D40" s="89"/>
      <c r="E40" s="89"/>
      <c r="F40" s="89"/>
      <c r="G40" s="89"/>
    </row>
    <row r="41" spans="1:7" ht="15">
      <c r="A41" s="102">
        <f t="shared" si="0"/>
        <v>32</v>
      </c>
      <c r="B41" s="91"/>
      <c r="C41" s="99" t="s">
        <v>43</v>
      </c>
      <c r="D41" s="89"/>
      <c r="E41" s="99" t="s">
        <v>43</v>
      </c>
      <c r="F41" s="89"/>
      <c r="G41" s="99" t="s">
        <v>43</v>
      </c>
    </row>
    <row r="42" spans="1:7" ht="15">
      <c r="A42" s="102">
        <f t="shared" si="0"/>
        <v>33</v>
      </c>
      <c r="B42" s="91" t="s">
        <v>318</v>
      </c>
      <c r="C42" s="127">
        <v>8939795.8200000003</v>
      </c>
      <c r="D42" s="89"/>
      <c r="E42" s="127">
        <v>3129288.62</v>
      </c>
      <c r="F42" s="89"/>
      <c r="G42" s="89">
        <f>SUM(C42:F42)</f>
        <v>12069084.440000001</v>
      </c>
    </row>
    <row r="43" spans="1:7" ht="15">
      <c r="A43" s="102">
        <f t="shared" si="0"/>
        <v>34</v>
      </c>
      <c r="B43" s="91" t="s">
        <v>319</v>
      </c>
      <c r="C43" s="127">
        <v>0</v>
      </c>
      <c r="D43" s="89"/>
      <c r="E43" s="127">
        <v>2279783.4300000002</v>
      </c>
      <c r="F43" s="89"/>
      <c r="G43" s="89">
        <f>SUM(C43:F43)</f>
        <v>2279783.4300000002</v>
      </c>
    </row>
    <row r="44" spans="1:7" ht="15">
      <c r="A44" s="102">
        <f t="shared" si="0"/>
        <v>35</v>
      </c>
      <c r="B44" s="91" t="s">
        <v>320</v>
      </c>
      <c r="C44" s="127">
        <v>650032.93000000005</v>
      </c>
      <c r="D44" s="89"/>
      <c r="E44" s="127">
        <v>0</v>
      </c>
      <c r="F44" s="89"/>
      <c r="G44" s="89">
        <f>SUM(C44:F44)</f>
        <v>650032.93000000005</v>
      </c>
    </row>
    <row r="45" spans="1:7" ht="15.75" thickBot="1">
      <c r="A45" s="102">
        <f t="shared" si="0"/>
        <v>36</v>
      </c>
      <c r="B45" s="91" t="s">
        <v>321</v>
      </c>
      <c r="C45" s="98">
        <f>+C42+C43-C44</f>
        <v>8289762.8900000006</v>
      </c>
      <c r="D45" s="89"/>
      <c r="E45" s="98">
        <f>+E42+E43-E44</f>
        <v>5409072.0500000007</v>
      </c>
      <c r="F45" s="89"/>
      <c r="G45" s="98">
        <f>+G42+G43-G44</f>
        <v>13698834.940000001</v>
      </c>
    </row>
    <row r="46" spans="1:7" ht="15.75" thickTop="1">
      <c r="C46" s="101"/>
      <c r="D46" s="101"/>
      <c r="E46" s="101"/>
      <c r="F46" s="101"/>
      <c r="G46" s="101"/>
    </row>
    <row r="47" spans="1:7" ht="15">
      <c r="C47" s="101"/>
      <c r="D47" s="101"/>
      <c r="E47" s="101"/>
      <c r="F47" s="101"/>
      <c r="G47" s="101" t="str">
        <f>IF(ROUND(+G45+G39+G33+G27+G21-G15,2)=0," ",+G45+G39+G33+G27+G21-G15)</f>
        <v xml:space="preserve"> </v>
      </c>
    </row>
    <row r="48" spans="1:7" ht="15">
      <c r="C48" s="101"/>
      <c r="D48" s="101"/>
      <c r="E48" s="101"/>
      <c r="F48" s="101"/>
      <c r="G48" s="101"/>
    </row>
    <row r="49" spans="3:7" ht="15">
      <c r="C49" s="101"/>
      <c r="D49" s="101"/>
      <c r="E49" s="101"/>
      <c r="F49" s="101"/>
      <c r="G49" s="101"/>
    </row>
    <row r="50" spans="3:7" ht="15">
      <c r="C50" s="101"/>
      <c r="D50" s="101"/>
      <c r="E50" s="101"/>
      <c r="F50" s="101"/>
      <c r="G50" s="101"/>
    </row>
    <row r="51" spans="3:7" ht="15">
      <c r="C51" s="101"/>
      <c r="D51" s="101"/>
      <c r="E51" s="101"/>
      <c r="F51" s="101"/>
      <c r="G51" s="101"/>
    </row>
    <row r="52" spans="3:7" ht="15">
      <c r="C52" s="101"/>
      <c r="D52" s="101"/>
      <c r="E52" s="101"/>
      <c r="F52" s="101"/>
      <c r="G52" s="101"/>
    </row>
    <row r="53" spans="3:7" ht="15">
      <c r="C53" s="101"/>
      <c r="D53" s="101"/>
      <c r="E53" s="101"/>
      <c r="F53" s="101"/>
      <c r="G53" s="101"/>
    </row>
    <row r="54" spans="3:7" ht="15">
      <c r="C54" s="101"/>
      <c r="D54" s="101"/>
      <c r="E54" s="101"/>
      <c r="F54" s="101"/>
      <c r="G54" s="101"/>
    </row>
    <row r="55" spans="3:7" ht="15">
      <c r="C55" s="101"/>
      <c r="D55" s="101"/>
      <c r="E55" s="101"/>
      <c r="F55" s="101"/>
      <c r="G55" s="101"/>
    </row>
    <row r="56" spans="3:7" ht="15">
      <c r="C56" s="101"/>
      <c r="D56" s="101"/>
      <c r="E56" s="101"/>
      <c r="F56" s="101"/>
      <c r="G56" s="101"/>
    </row>
    <row r="57" spans="3:7" ht="15">
      <c r="C57" s="101"/>
      <c r="D57" s="101"/>
      <c r="E57" s="101"/>
      <c r="F57" s="101"/>
      <c r="G57" s="101"/>
    </row>
    <row r="58" spans="3:7" ht="15">
      <c r="C58" s="101"/>
      <c r="D58" s="101"/>
      <c r="E58" s="101"/>
      <c r="F58" s="101"/>
      <c r="G58" s="101"/>
    </row>
    <row r="59" spans="3:7" ht="15">
      <c r="C59" s="101"/>
      <c r="D59" s="101"/>
      <c r="E59" s="101"/>
      <c r="F59" s="101"/>
      <c r="G59" s="101"/>
    </row>
    <row r="60" spans="3:7" ht="15">
      <c r="C60" s="101"/>
      <c r="D60" s="101"/>
      <c r="E60" s="101"/>
      <c r="F60" s="101"/>
      <c r="G60" s="101"/>
    </row>
    <row r="61" spans="3:7" ht="15">
      <c r="C61" s="101"/>
      <c r="D61" s="101"/>
      <c r="E61" s="101"/>
      <c r="F61" s="101"/>
      <c r="G61" s="101"/>
    </row>
    <row r="62" spans="3:7" ht="15">
      <c r="C62" s="101"/>
      <c r="D62" s="101"/>
      <c r="E62" s="101"/>
      <c r="F62" s="101"/>
      <c r="G62" s="101"/>
    </row>
    <row r="63" spans="3:7" ht="15">
      <c r="C63" s="101"/>
      <c r="D63" s="101"/>
      <c r="E63" s="101"/>
      <c r="F63" s="101"/>
      <c r="G63" s="101"/>
    </row>
    <row r="64" spans="3:7" ht="15">
      <c r="C64" s="101"/>
      <c r="D64" s="101"/>
      <c r="E64" s="101"/>
      <c r="F64" s="101"/>
      <c r="G64" s="101"/>
    </row>
    <row r="65" spans="3:7" ht="15">
      <c r="C65" s="101"/>
      <c r="D65" s="101"/>
      <c r="E65" s="101"/>
      <c r="F65" s="101"/>
      <c r="G65" s="101"/>
    </row>
    <row r="66" spans="3:7" ht="15">
      <c r="C66" s="101"/>
      <c r="D66" s="101"/>
      <c r="E66" s="101"/>
      <c r="F66" s="101"/>
      <c r="G66" s="101"/>
    </row>
    <row r="67" spans="3:7" ht="15">
      <c r="C67" s="101"/>
      <c r="D67" s="101"/>
      <c r="E67" s="101"/>
      <c r="F67" s="101"/>
      <c r="G67" s="101"/>
    </row>
  </sheetData>
  <mergeCells count="3">
    <mergeCell ref="A1:G1"/>
    <mergeCell ref="A2:G2"/>
    <mergeCell ref="A3:G3"/>
  </mergeCells>
  <pageMargins left="1.25" right="0.5" top="1" bottom="1" header="0.5" footer="0.5"/>
  <pageSetup scale="69" orientation="landscape" horizontalDpi="4294967292" verticalDpi="4294967292" r:id="rId1"/>
  <headerFooter alignWithMargins="0">
    <oddHeader>&amp;RSchedule I1.0</oddHeader>
    <oddFooter>&amp;R&amp;D</oddFooter>
  </headerFooter>
</worksheet>
</file>

<file path=xl/worksheets/sheet11.xml><?xml version="1.0" encoding="utf-8"?>
<worksheet xmlns="http://schemas.openxmlformats.org/spreadsheetml/2006/main" xmlns:r="http://schemas.openxmlformats.org/officeDocument/2006/relationships">
  <dimension ref="A1:Q39"/>
  <sheetViews>
    <sheetView view="pageLayout" topLeftCell="A46" zoomScaleSheetLayoutView="130" workbookViewId="0">
      <selection activeCell="C39" sqref="C39"/>
    </sheetView>
  </sheetViews>
  <sheetFormatPr defaultRowHeight="15"/>
  <cols>
    <col min="1" max="1" width="19" customWidth="1"/>
    <col min="2" max="2" width="4"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7">
      <c r="A1" s="152" t="s">
        <v>34</v>
      </c>
      <c r="B1" s="152"/>
      <c r="C1" s="152"/>
      <c r="D1" s="152"/>
      <c r="E1" s="152"/>
      <c r="F1" s="152"/>
      <c r="G1" s="152"/>
      <c r="H1" s="152"/>
      <c r="I1" s="152"/>
    </row>
    <row r="2" spans="1:17">
      <c r="A2" s="152" t="s">
        <v>347</v>
      </c>
      <c r="B2" s="152"/>
      <c r="C2" s="152"/>
      <c r="D2" s="152"/>
      <c r="E2" s="152"/>
      <c r="F2" s="152"/>
      <c r="G2" s="152"/>
      <c r="H2" s="152"/>
      <c r="I2" s="152"/>
    </row>
    <row r="3" spans="1:17">
      <c r="A3" s="135"/>
    </row>
    <row r="4" spans="1:17">
      <c r="A4" s="135" t="s">
        <v>449</v>
      </c>
    </row>
    <row r="5" spans="1:17">
      <c r="B5" t="s">
        <v>348</v>
      </c>
    </row>
    <row r="6" spans="1:17">
      <c r="B6" t="s">
        <v>349</v>
      </c>
    </row>
    <row r="7" spans="1:17">
      <c r="B7" t="s">
        <v>350</v>
      </c>
    </row>
    <row r="8" spans="1:17">
      <c r="B8" t="s">
        <v>351</v>
      </c>
    </row>
    <row r="9" spans="1:17">
      <c r="B9" t="s">
        <v>352</v>
      </c>
      <c r="C9" t="s">
        <v>353</v>
      </c>
    </row>
    <row r="10" spans="1:17">
      <c r="C10" t="s">
        <v>354</v>
      </c>
    </row>
    <row r="12" spans="1:17">
      <c r="A12" t="s">
        <v>355</v>
      </c>
    </row>
    <row r="14" spans="1:17">
      <c r="P14" t="s">
        <v>356</v>
      </c>
    </row>
    <row r="15" spans="1:17">
      <c r="E15" t="s">
        <v>357</v>
      </c>
      <c r="I15" t="s">
        <v>358</v>
      </c>
      <c r="M15" t="s">
        <v>359</v>
      </c>
      <c r="P15" t="s">
        <v>360</v>
      </c>
    </row>
    <row r="16" spans="1:17">
      <c r="B16" t="s">
        <v>41</v>
      </c>
      <c r="C16" t="s">
        <v>361</v>
      </c>
      <c r="E16" t="s">
        <v>40</v>
      </c>
      <c r="F16" t="s">
        <v>42</v>
      </c>
      <c r="G16" t="s">
        <v>190</v>
      </c>
      <c r="I16" t="s">
        <v>40</v>
      </c>
      <c r="J16" t="s">
        <v>42</v>
      </c>
      <c r="K16" t="s">
        <v>190</v>
      </c>
      <c r="M16" t="s">
        <v>40</v>
      </c>
      <c r="N16" t="s">
        <v>42</v>
      </c>
      <c r="P16" t="s">
        <v>40</v>
      </c>
      <c r="Q16" t="s">
        <v>42</v>
      </c>
    </row>
    <row r="17" spans="1:17">
      <c r="C17" s="25" t="s">
        <v>119</v>
      </c>
      <c r="E17" s="25" t="s">
        <v>119</v>
      </c>
      <c r="F17" s="25" t="s">
        <v>119</v>
      </c>
      <c r="G17" s="25" t="s">
        <v>119</v>
      </c>
      <c r="I17" s="25" t="s">
        <v>119</v>
      </c>
      <c r="J17" s="25" t="s">
        <v>119</v>
      </c>
      <c r="K17" s="25" t="s">
        <v>119</v>
      </c>
      <c r="M17" s="25" t="s">
        <v>119</v>
      </c>
      <c r="N17" s="25" t="s">
        <v>119</v>
      </c>
      <c r="P17" s="25" t="s">
        <v>119</v>
      </c>
      <c r="Q17" s="25" t="s">
        <v>119</v>
      </c>
    </row>
    <row r="18" spans="1:17">
      <c r="A18" t="s">
        <v>362</v>
      </c>
      <c r="B18" t="s">
        <v>363</v>
      </c>
      <c r="C18" s="114">
        <v>241001.57000000004</v>
      </c>
      <c r="D18" s="5"/>
      <c r="E18" s="114">
        <v>6436.98</v>
      </c>
      <c r="F18" s="114">
        <v>181922.27000000002</v>
      </c>
      <c r="G18" s="114">
        <v>52642.32</v>
      </c>
      <c r="H18" s="122"/>
      <c r="I18" s="131">
        <v>2.6709286582655867E-2</v>
      </c>
      <c r="J18" s="131">
        <v>0.75485927332340608</v>
      </c>
      <c r="K18" s="131">
        <v>0.21843144009393795</v>
      </c>
      <c r="L18" s="122"/>
      <c r="M18" s="114">
        <v>8235.9761257203972</v>
      </c>
      <c r="N18" s="114">
        <v>232765.59387427961</v>
      </c>
      <c r="O18" s="122"/>
      <c r="P18" s="131">
        <v>3.4173952168529011E-2</v>
      </c>
      <c r="Q18" s="131">
        <v>0.96582604783147086</v>
      </c>
    </row>
    <row r="19" spans="1:17">
      <c r="A19" t="s">
        <v>364</v>
      </c>
      <c r="B19" t="s">
        <v>363</v>
      </c>
      <c r="C19" s="114">
        <v>104771.63000000002</v>
      </c>
      <c r="D19" s="5"/>
      <c r="E19" s="114">
        <v>3960</v>
      </c>
      <c r="F19" s="114">
        <v>79258.710000000021</v>
      </c>
      <c r="G19" s="114">
        <v>21552.92</v>
      </c>
      <c r="H19" s="122"/>
      <c r="I19" s="131">
        <v>3.7796491282993297E-2</v>
      </c>
      <c r="J19" s="131">
        <v>0.75649018727684203</v>
      </c>
      <c r="K19" s="131">
        <v>0.2057133214401646</v>
      </c>
      <c r="L19" s="122"/>
      <c r="M19" s="114">
        <v>4985.6054581956387</v>
      </c>
      <c r="N19" s="114">
        <v>99786.024541804378</v>
      </c>
      <c r="O19" s="122"/>
      <c r="P19" s="131">
        <v>4.7585452838670522E-2</v>
      </c>
      <c r="Q19" s="131">
        <v>0.95241454716132945</v>
      </c>
    </row>
    <row r="20" spans="1:17">
      <c r="A20" t="s">
        <v>365</v>
      </c>
      <c r="B20" t="s">
        <v>363</v>
      </c>
      <c r="C20" s="114">
        <v>147514.32</v>
      </c>
      <c r="D20" s="5"/>
      <c r="E20" s="114">
        <v>9232.18</v>
      </c>
      <c r="F20" s="114">
        <v>112288.89</v>
      </c>
      <c r="G20" s="114">
        <v>25993.25</v>
      </c>
      <c r="H20" s="122"/>
      <c r="I20" s="131">
        <v>6.2584974801090501E-2</v>
      </c>
      <c r="J20" s="131">
        <v>0.76120670860971329</v>
      </c>
      <c r="K20" s="131">
        <v>0.17620831658919622</v>
      </c>
      <c r="L20" s="122"/>
      <c r="M20" s="114">
        <v>11206.935182660916</v>
      </c>
      <c r="N20" s="114">
        <v>136307.38481733907</v>
      </c>
      <c r="O20" s="122"/>
      <c r="P20" s="131">
        <v>7.5971845870020732E-2</v>
      </c>
      <c r="Q20" s="131">
        <v>0.92402815412997918</v>
      </c>
    </row>
    <row r="21" spans="1:17">
      <c r="A21" t="s">
        <v>366</v>
      </c>
      <c r="B21" t="s">
        <v>367</v>
      </c>
      <c r="C21" s="114">
        <v>415374.57999999984</v>
      </c>
      <c r="D21" s="5"/>
      <c r="E21" s="114">
        <v>29137.25</v>
      </c>
      <c r="F21" s="114">
        <v>184395.63000000006</v>
      </c>
      <c r="G21" s="114">
        <v>201841.7</v>
      </c>
      <c r="H21" s="122"/>
      <c r="I21" s="131">
        <v>7.0146926179257316E-2</v>
      </c>
      <c r="J21" s="131">
        <v>0.44392613048203416</v>
      </c>
      <c r="K21" s="131">
        <v>0.48592694333870912</v>
      </c>
      <c r="L21" s="122"/>
      <c r="M21" s="114">
        <v>56679.200791489347</v>
      </c>
      <c r="N21" s="114">
        <v>358695.37920851074</v>
      </c>
      <c r="O21" s="122"/>
      <c r="P21" s="131">
        <v>0.13645322444018931</v>
      </c>
      <c r="Q21" s="131">
        <v>0.8635467755598113</v>
      </c>
    </row>
    <row r="22" spans="1:17">
      <c r="A22" t="s">
        <v>368</v>
      </c>
      <c r="B22" t="s">
        <v>363</v>
      </c>
      <c r="C22" s="114">
        <v>534034.78999999992</v>
      </c>
      <c r="D22" s="5"/>
      <c r="E22" s="114">
        <v>50473.495999999999</v>
      </c>
      <c r="F22" s="114">
        <v>383881.58399999997</v>
      </c>
      <c r="G22" s="114">
        <v>99679.71</v>
      </c>
      <c r="H22" s="122"/>
      <c r="I22" s="131">
        <v>9.4513497894022983E-2</v>
      </c>
      <c r="J22" s="131">
        <v>0.71883253898121513</v>
      </c>
      <c r="K22" s="131">
        <v>0.18665396312476201</v>
      </c>
      <c r="L22" s="122"/>
      <c r="M22" s="114">
        <v>62056.607780265491</v>
      </c>
      <c r="N22" s="114">
        <v>471978.18221973447</v>
      </c>
      <c r="O22" s="122"/>
      <c r="P22" s="131">
        <v>0.11620330536942265</v>
      </c>
      <c r="Q22" s="131">
        <v>0.88379669463057742</v>
      </c>
    </row>
    <row r="23" spans="1:17">
      <c r="A23" t="s">
        <v>369</v>
      </c>
      <c r="B23" t="s">
        <v>367</v>
      </c>
      <c r="C23" s="114">
        <v>4572.8500000000004</v>
      </c>
      <c r="D23" s="5"/>
      <c r="E23" s="114">
        <v>0</v>
      </c>
      <c r="F23" s="114">
        <v>2541.4</v>
      </c>
      <c r="G23" s="114">
        <v>2031.45</v>
      </c>
      <c r="H23" s="122"/>
      <c r="I23" s="131">
        <v>0</v>
      </c>
      <c r="J23" s="131">
        <v>0.55575844385886264</v>
      </c>
      <c r="K23" s="131">
        <v>0.44424155614113736</v>
      </c>
      <c r="L23" s="122"/>
      <c r="M23" s="114">
        <v>0</v>
      </c>
      <c r="N23" s="114">
        <v>4572.8500000000004</v>
      </c>
      <c r="O23" s="122"/>
      <c r="P23" s="131">
        <v>0</v>
      </c>
      <c r="Q23" s="131">
        <v>1</v>
      </c>
    </row>
    <row r="24" spans="1:17">
      <c r="A24" t="s">
        <v>370</v>
      </c>
      <c r="B24" t="s">
        <v>367</v>
      </c>
      <c r="C24" s="114">
        <v>841841.37</v>
      </c>
      <c r="D24" s="5"/>
      <c r="E24" s="114">
        <v>95450.47</v>
      </c>
      <c r="F24" s="114">
        <v>574401.28000000003</v>
      </c>
      <c r="G24" s="114">
        <v>171989.62</v>
      </c>
      <c r="H24" s="122"/>
      <c r="I24" s="131">
        <v>0.11338296429884409</v>
      </c>
      <c r="J24" s="131">
        <v>0.68231533929010879</v>
      </c>
      <c r="K24" s="131">
        <v>0.20430169641104712</v>
      </c>
      <c r="L24" s="122"/>
      <c r="M24" s="114">
        <v>119958.11675037633</v>
      </c>
      <c r="N24" s="114">
        <v>721883.2532496237</v>
      </c>
      <c r="O24" s="122"/>
      <c r="P24" s="131">
        <v>0.14249491771873402</v>
      </c>
      <c r="Q24" s="131">
        <v>0.85750508228126598</v>
      </c>
    </row>
    <row r="25" spans="1:17">
      <c r="A25" t="s">
        <v>371</v>
      </c>
      <c r="B25" t="s">
        <v>367</v>
      </c>
      <c r="C25" s="114">
        <v>387838.85000000003</v>
      </c>
      <c r="D25" s="5"/>
      <c r="E25" s="114">
        <v>35008.47</v>
      </c>
      <c r="F25" s="114">
        <v>237406.5</v>
      </c>
      <c r="G25" s="114">
        <v>115423.88</v>
      </c>
      <c r="H25" s="122"/>
      <c r="I25" s="131">
        <v>9.0265505892460227E-2</v>
      </c>
      <c r="J25" s="131">
        <v>0.61212666033843688</v>
      </c>
      <c r="K25" s="131">
        <v>0.29760783376910277</v>
      </c>
      <c r="L25" s="122"/>
      <c r="M25" s="114">
        <v>49841.771709754059</v>
      </c>
      <c r="N25" s="114">
        <v>337997.07829024596</v>
      </c>
      <c r="O25" s="122"/>
      <c r="P25" s="131">
        <v>0.12851154986086116</v>
      </c>
      <c r="Q25" s="131">
        <v>0.87148845013913878</v>
      </c>
    </row>
    <row r="26" spans="1:17">
      <c r="A26" t="s">
        <v>372</v>
      </c>
      <c r="B26" t="s">
        <v>367</v>
      </c>
      <c r="C26" s="114">
        <v>224587.79999999996</v>
      </c>
      <c r="D26" s="5"/>
      <c r="E26" s="114">
        <v>57897.85</v>
      </c>
      <c r="F26" s="114">
        <v>141773.96</v>
      </c>
      <c r="G26" s="114">
        <v>24915.989999999998</v>
      </c>
      <c r="H26" s="122"/>
      <c r="I26" s="131">
        <v>0.2577960601599909</v>
      </c>
      <c r="J26" s="131">
        <v>0.63126296263643888</v>
      </c>
      <c r="K26" s="131">
        <v>0.11094097720357028</v>
      </c>
      <c r="L26" s="122"/>
      <c r="M26" s="114">
        <v>65122.616739088007</v>
      </c>
      <c r="N26" s="114">
        <v>159465.18326091199</v>
      </c>
      <c r="O26" s="122"/>
      <c r="P26" s="131">
        <v>0.28996506817862777</v>
      </c>
      <c r="Q26" s="131">
        <v>0.71003493182137234</v>
      </c>
    </row>
    <row r="27" spans="1:17">
      <c r="A27" t="s">
        <v>373</v>
      </c>
      <c r="B27" t="s">
        <v>367</v>
      </c>
      <c r="C27" s="114">
        <v>63935.15</v>
      </c>
      <c r="D27" s="5"/>
      <c r="E27" s="114">
        <v>2832.21</v>
      </c>
      <c r="F27" s="114">
        <v>45031.72</v>
      </c>
      <c r="G27" s="114">
        <v>16071.22</v>
      </c>
      <c r="H27" s="122"/>
      <c r="I27" s="131">
        <v>4.4298167752793258E-2</v>
      </c>
      <c r="J27" s="131">
        <v>0.70433431375385835</v>
      </c>
      <c r="K27" s="131">
        <v>0.25136751849334832</v>
      </c>
      <c r="L27" s="122"/>
      <c r="M27" s="114">
        <v>3783.1780879986245</v>
      </c>
      <c r="N27" s="114">
        <v>60151.971912001376</v>
      </c>
      <c r="O27" s="122"/>
      <c r="P27" s="131">
        <v>5.9172115620259348E-2</v>
      </c>
      <c r="Q27" s="131">
        <v>0.94082788437974063</v>
      </c>
    </row>
    <row r="28" spans="1:17">
      <c r="A28" t="s">
        <v>374</v>
      </c>
      <c r="B28" t="s">
        <v>367</v>
      </c>
      <c r="C28" s="114">
        <v>142798.63</v>
      </c>
      <c r="D28" s="5"/>
      <c r="E28" s="114">
        <v>3262.8799999999997</v>
      </c>
      <c r="F28" s="114">
        <v>130813.33000000002</v>
      </c>
      <c r="G28" s="114">
        <v>8722.42</v>
      </c>
      <c r="H28" s="122"/>
      <c r="I28" s="131">
        <v>2.2849518934460362E-2</v>
      </c>
      <c r="J28" s="131">
        <v>0.91606852250613335</v>
      </c>
      <c r="K28" s="131">
        <v>6.1081958559406346E-2</v>
      </c>
      <c r="L28" s="122"/>
      <c r="M28" s="114">
        <v>3475.1489011689691</v>
      </c>
      <c r="N28" s="114">
        <v>139323.48109883105</v>
      </c>
      <c r="O28" s="122"/>
      <c r="P28" s="131">
        <v>2.4336010094557412E-2</v>
      </c>
      <c r="Q28" s="131">
        <v>0.97566398990544267</v>
      </c>
    </row>
    <row r="29" spans="1:17">
      <c r="A29" t="s">
        <v>375</v>
      </c>
      <c r="B29" t="s">
        <v>367</v>
      </c>
      <c r="C29" s="114">
        <v>227512</v>
      </c>
      <c r="D29" s="5"/>
      <c r="E29" s="114">
        <v>13400</v>
      </c>
      <c r="F29" s="114">
        <v>149190</v>
      </c>
      <c r="G29" s="114">
        <v>64922</v>
      </c>
      <c r="H29" s="122"/>
      <c r="I29" s="131">
        <v>5.8897992193818346E-2</v>
      </c>
      <c r="J29" s="131">
        <v>0.65574563099968353</v>
      </c>
      <c r="K29" s="131">
        <v>0.28535637680649811</v>
      </c>
      <c r="L29" s="122"/>
      <c r="M29" s="114">
        <v>18750.60458822806</v>
      </c>
      <c r="N29" s="114">
        <v>208761.39541177195</v>
      </c>
      <c r="O29" s="122"/>
      <c r="P29" s="131">
        <v>8.2415892736330654E-2</v>
      </c>
      <c r="Q29" s="131">
        <v>0.91758410726366946</v>
      </c>
    </row>
    <row r="30" spans="1:17">
      <c r="A30" t="s">
        <v>376</v>
      </c>
      <c r="B30" t="s">
        <v>367</v>
      </c>
      <c r="C30" s="114">
        <v>448782.1399999999</v>
      </c>
      <c r="D30" s="5"/>
      <c r="E30" s="114">
        <v>14097.5</v>
      </c>
      <c r="F30" s="114">
        <v>371410.41499999998</v>
      </c>
      <c r="G30" s="114">
        <v>63274.224999999999</v>
      </c>
      <c r="H30" s="122"/>
      <c r="I30" s="131">
        <v>3.1412791961819168E-2</v>
      </c>
      <c r="J30" s="131">
        <v>0.82759624747990213</v>
      </c>
      <c r="K30" s="131">
        <v>0.14099096055827892</v>
      </c>
      <c r="L30" s="122"/>
      <c r="M30" s="114">
        <v>16411.352328913923</v>
      </c>
      <c r="N30" s="114">
        <v>432370.78767108603</v>
      </c>
      <c r="O30" s="122"/>
      <c r="P30" s="131">
        <v>3.6568639582925305E-2</v>
      </c>
      <c r="Q30" s="131">
        <v>0.96343136041707478</v>
      </c>
    </row>
    <row r="31" spans="1:17">
      <c r="A31" t="s">
        <v>377</v>
      </c>
      <c r="B31" t="s">
        <v>367</v>
      </c>
      <c r="C31" s="114">
        <v>394385.57</v>
      </c>
      <c r="D31" s="5"/>
      <c r="E31" s="114">
        <v>15360</v>
      </c>
      <c r="F31" s="114">
        <v>283511.56</v>
      </c>
      <c r="G31" s="114">
        <v>95514.01</v>
      </c>
      <c r="H31" s="122"/>
      <c r="I31" s="131">
        <v>3.8946658215715142E-2</v>
      </c>
      <c r="J31" s="131">
        <v>0.71886899918777447</v>
      </c>
      <c r="K31" s="131">
        <v>0.24218434259651028</v>
      </c>
      <c r="L31" s="122"/>
      <c r="M31" s="114">
        <v>20268.781530099419</v>
      </c>
      <c r="N31" s="114">
        <v>374116.78846990061</v>
      </c>
      <c r="O31" s="122"/>
      <c r="P31" s="131">
        <v>5.1393314238397256E-2</v>
      </c>
      <c r="Q31" s="131">
        <v>0.94860668576160279</v>
      </c>
    </row>
    <row r="32" spans="1:17">
      <c r="A32" t="s">
        <v>378</v>
      </c>
      <c r="B32" t="s">
        <v>367</v>
      </c>
      <c r="C32" s="114">
        <v>348794.58999999997</v>
      </c>
      <c r="D32" s="5"/>
      <c r="E32" s="114">
        <v>14170</v>
      </c>
      <c r="F32" s="114">
        <v>264060.13500000001</v>
      </c>
      <c r="G32" s="114">
        <v>70564.455000000002</v>
      </c>
      <c r="H32" s="122"/>
      <c r="I32" s="131">
        <v>4.0625630116568036E-2</v>
      </c>
      <c r="J32" s="131">
        <v>0.75706488165427122</v>
      </c>
      <c r="K32" s="131">
        <v>0.20230948822916092</v>
      </c>
      <c r="L32" s="122"/>
      <c r="M32" s="114">
        <v>17763.781555509795</v>
      </c>
      <c r="N32" s="114">
        <v>331030.80844449019</v>
      </c>
      <c r="O32" s="122"/>
      <c r="P32" s="131">
        <v>5.0929062734344006E-2</v>
      </c>
      <c r="Q32" s="131">
        <v>0.94907093726565606</v>
      </c>
    </row>
    <row r="33" spans="1:17">
      <c r="A33" t="s">
        <v>379</v>
      </c>
      <c r="B33" t="s">
        <v>367</v>
      </c>
      <c r="C33" s="114">
        <v>409455.4200000001</v>
      </c>
      <c r="D33" s="5"/>
      <c r="E33" s="114">
        <v>13747.970000000001</v>
      </c>
      <c r="F33" s="114">
        <v>312971.565</v>
      </c>
      <c r="G33" s="114">
        <v>82735.884999999995</v>
      </c>
      <c r="H33" s="122"/>
      <c r="I33" s="131">
        <v>3.3576231571192779E-2</v>
      </c>
      <c r="J33" s="131">
        <v>0.76436053771128476</v>
      </c>
      <c r="K33" s="131">
        <v>0.20206323071752225</v>
      </c>
      <c r="L33" s="122"/>
      <c r="M33" s="114">
        <v>17229.397778426075</v>
      </c>
      <c r="N33" s="114">
        <v>392226.02222157392</v>
      </c>
      <c r="O33" s="122"/>
      <c r="P33" s="131">
        <v>4.2078812336703394E-2</v>
      </c>
      <c r="Q33" s="131">
        <v>0.95792118766329637</v>
      </c>
    </row>
    <row r="34" spans="1:17">
      <c r="A34" t="s">
        <v>380</v>
      </c>
      <c r="B34" t="s">
        <v>367</v>
      </c>
      <c r="C34" s="114">
        <v>518449.9</v>
      </c>
      <c r="D34" s="5"/>
      <c r="E34" s="114">
        <v>8475</v>
      </c>
      <c r="F34" s="114">
        <v>419893.23000000004</v>
      </c>
      <c r="G34" s="114">
        <v>90081.669999999984</v>
      </c>
      <c r="H34" s="122"/>
      <c r="I34" s="131">
        <v>1.6346806123407488E-2</v>
      </c>
      <c r="J34" s="131">
        <v>0.80990126529101469</v>
      </c>
      <c r="K34" s="131">
        <v>0.17375192858557786</v>
      </c>
      <c r="L34" s="122"/>
      <c r="M34" s="114">
        <v>10257.210023488436</v>
      </c>
      <c r="N34" s="114">
        <v>508192.68997651158</v>
      </c>
      <c r="O34" s="122"/>
      <c r="P34" s="131">
        <v>1.9784380368264003E-2</v>
      </c>
      <c r="Q34" s="131">
        <v>0.98021561963173598</v>
      </c>
    </row>
    <row r="35" spans="1:17">
      <c r="A35" t="s">
        <v>381</v>
      </c>
      <c r="B35" t="s">
        <v>367</v>
      </c>
      <c r="C35" s="114">
        <v>339088.46</v>
      </c>
      <c r="D35" s="5"/>
      <c r="E35" s="114">
        <v>15250</v>
      </c>
      <c r="F35" s="114">
        <v>235802.435</v>
      </c>
      <c r="G35" s="114">
        <v>88036.024999999994</v>
      </c>
      <c r="H35" s="122"/>
      <c r="I35" s="131">
        <v>4.4973515170643082E-2</v>
      </c>
      <c r="J35" s="131">
        <v>0.69540094345882486</v>
      </c>
      <c r="K35" s="131">
        <v>0.25962554137053201</v>
      </c>
      <c r="L35" s="122"/>
      <c r="M35" s="114">
        <v>20597.685160870875</v>
      </c>
      <c r="N35" s="114">
        <v>318490.77483912912</v>
      </c>
      <c r="O35" s="122"/>
      <c r="P35" s="131">
        <v>6.0744282364757776E-2</v>
      </c>
      <c r="Q35" s="131">
        <v>0.93925571763524218</v>
      </c>
    </row>
    <row r="36" spans="1:17">
      <c r="A36" t="s">
        <v>382</v>
      </c>
      <c r="B36" t="s">
        <v>367</v>
      </c>
      <c r="C36" s="114">
        <v>352419.16</v>
      </c>
      <c r="D36" s="5"/>
      <c r="E36" s="114">
        <v>10726.8</v>
      </c>
      <c r="F36" s="114">
        <v>267828.59999999998</v>
      </c>
      <c r="G36" s="114">
        <v>73863.760000000009</v>
      </c>
      <c r="H36" s="122"/>
      <c r="I36" s="131">
        <v>3.0437618658418004E-2</v>
      </c>
      <c r="J36" s="131">
        <v>0.75997173365942983</v>
      </c>
      <c r="K36" s="131">
        <v>0.20959064768215216</v>
      </c>
      <c r="L36" s="122"/>
      <c r="M36" s="114">
        <v>13571.195695678489</v>
      </c>
      <c r="N36" s="114">
        <v>338847.9643043215</v>
      </c>
      <c r="O36" s="122"/>
      <c r="P36" s="131">
        <v>3.850867726850745E-2</v>
      </c>
      <c r="Q36" s="131">
        <v>0.96149132273149263</v>
      </c>
    </row>
    <row r="37" spans="1:17">
      <c r="A37" t="s">
        <v>383</v>
      </c>
      <c r="B37" t="s">
        <v>367</v>
      </c>
      <c r="C37" s="114">
        <v>287113.28000000003</v>
      </c>
      <c r="D37" s="5"/>
      <c r="E37" s="114">
        <v>10479.41</v>
      </c>
      <c r="F37" s="114">
        <v>191758.58500000002</v>
      </c>
      <c r="G37" s="114">
        <v>84875.285000000003</v>
      </c>
      <c r="H37" s="122"/>
      <c r="I37" s="131">
        <v>3.6499217312414109E-2</v>
      </c>
      <c r="J37" s="131">
        <v>0.66788476311510214</v>
      </c>
      <c r="K37" s="131">
        <v>0.29561601957248373</v>
      </c>
      <c r="L37" s="122"/>
      <c r="M37" s="114">
        <v>14877.411030329884</v>
      </c>
      <c r="N37" s="114">
        <v>272235.86896967015</v>
      </c>
      <c r="O37" s="122"/>
      <c r="P37" s="131">
        <v>5.1817216641215212E-2</v>
      </c>
      <c r="Q37" s="131">
        <v>0.94818278335878481</v>
      </c>
    </row>
    <row r="38" spans="1:17">
      <c r="A38" t="s">
        <v>384</v>
      </c>
      <c r="B38" t="s">
        <v>367</v>
      </c>
      <c r="C38" s="114">
        <v>612594.82999999996</v>
      </c>
      <c r="D38" s="5"/>
      <c r="E38" s="114">
        <v>92986.167320378241</v>
      </c>
      <c r="F38" s="114">
        <v>460643.7396120081</v>
      </c>
      <c r="G38" s="114">
        <v>58964.923067613548</v>
      </c>
      <c r="H38" s="122"/>
      <c r="I38" s="131">
        <v>0.15179064981723442</v>
      </c>
      <c r="J38" s="131">
        <v>0.75195499056367832</v>
      </c>
      <c r="K38" s="131">
        <v>9.625435961908714E-2</v>
      </c>
      <c r="L38" s="122"/>
      <c r="M38" s="114">
        <v>102889.75477788884</v>
      </c>
      <c r="N38" s="114">
        <v>509705.07522211107</v>
      </c>
      <c r="O38" s="122"/>
      <c r="P38" s="131">
        <v>0.16795726920824461</v>
      </c>
      <c r="Q38" s="131">
        <v>0.83204273079175528</v>
      </c>
    </row>
    <row r="39" spans="1:17">
      <c r="A39" t="s">
        <v>385</v>
      </c>
      <c r="C39" s="114">
        <v>7046866.8900000006</v>
      </c>
      <c r="D39" s="5"/>
      <c r="E39" s="114">
        <v>502384.63332037826</v>
      </c>
      <c r="F39" s="114">
        <v>5030785.538612009</v>
      </c>
      <c r="G39" s="114">
        <v>1513696.7180676132</v>
      </c>
      <c r="H39" s="122"/>
      <c r="I39" s="131">
        <v>7.1291914713657686E-2</v>
      </c>
      <c r="J39" s="131">
        <v>0.71390386921470694</v>
      </c>
      <c r="K39" s="131">
        <v>0.21480421607163536</v>
      </c>
      <c r="L39" s="122"/>
      <c r="M39" s="114">
        <v>637962.33199615171</v>
      </c>
      <c r="N39" s="114">
        <v>6408904.5580038493</v>
      </c>
      <c r="O39" s="122"/>
      <c r="P39" s="131">
        <v>9.0531344206524617E-2</v>
      </c>
      <c r="Q39" s="131">
        <v>0.90946865579347547</v>
      </c>
    </row>
  </sheetData>
  <mergeCells count="2">
    <mergeCell ref="A1:I1"/>
    <mergeCell ref="A2:I2"/>
  </mergeCells>
  <pageMargins left="0.7" right="0.7" top="0.75" bottom="0.75" header="0.3" footer="0.3"/>
  <pageSetup scale="74" orientation="landscape" r:id="rId1"/>
  <headerFooter>
    <oddHeader>&amp;RSchedule J1.0</oddHeader>
    <oddFooter>&amp;R&amp;D</oddFooter>
  </headerFooter>
</worksheet>
</file>

<file path=xl/worksheets/sheet12.xml><?xml version="1.0" encoding="utf-8"?>
<worksheet xmlns="http://schemas.openxmlformats.org/spreadsheetml/2006/main" xmlns:r="http://schemas.openxmlformats.org/officeDocument/2006/relationships">
  <dimension ref="A1:E22"/>
  <sheetViews>
    <sheetView view="pageLayout" topLeftCell="A32" workbookViewId="0">
      <selection activeCell="C6" sqref="C6:D21"/>
    </sheetView>
  </sheetViews>
  <sheetFormatPr defaultRowHeight="15"/>
  <cols>
    <col min="1" max="1" width="4.42578125" customWidth="1"/>
    <col min="2" max="5" width="18.7109375" customWidth="1"/>
  </cols>
  <sheetData>
    <row r="1" spans="1:5">
      <c r="B1" s="142" t="s">
        <v>34</v>
      </c>
      <c r="C1" s="142"/>
      <c r="D1" s="142"/>
      <c r="E1" s="142"/>
    </row>
    <row r="2" spans="1:5">
      <c r="B2" s="142" t="s">
        <v>280</v>
      </c>
      <c r="C2" s="142"/>
      <c r="D2" s="142"/>
      <c r="E2" s="142"/>
    </row>
    <row r="4" spans="1:5">
      <c r="B4" s="135" t="s">
        <v>449</v>
      </c>
      <c r="C4" s="20"/>
      <c r="D4" s="20"/>
      <c r="E4" s="20"/>
    </row>
    <row r="5" spans="1:5">
      <c r="B5" s="143"/>
      <c r="C5" s="146" t="s">
        <v>455</v>
      </c>
      <c r="D5" s="144" t="s">
        <v>456</v>
      </c>
      <c r="E5" s="145" t="s">
        <v>422</v>
      </c>
    </row>
    <row r="6" spans="1:5">
      <c r="A6">
        <v>1</v>
      </c>
      <c r="B6" s="20" t="s">
        <v>266</v>
      </c>
      <c r="C6" s="151">
        <v>6</v>
      </c>
      <c r="D6" s="139"/>
      <c r="E6" s="20"/>
    </row>
    <row r="7" spans="1:5">
      <c r="A7">
        <f>+A6+1</f>
        <v>2</v>
      </c>
      <c r="B7" s="20" t="s">
        <v>267</v>
      </c>
      <c r="C7" s="151">
        <v>17</v>
      </c>
      <c r="D7" s="139"/>
      <c r="E7" s="20"/>
    </row>
    <row r="8" spans="1:5">
      <c r="A8">
        <f t="shared" ref="A8:A22" si="0">+A7+1</f>
        <v>3</v>
      </c>
      <c r="B8" s="20" t="s">
        <v>26</v>
      </c>
      <c r="C8" s="151">
        <v>7</v>
      </c>
      <c r="D8" s="151">
        <v>1</v>
      </c>
      <c r="E8" s="36">
        <f>+D8/C$22</f>
        <v>3.4843205574912892E-3</v>
      </c>
    </row>
    <row r="9" spans="1:5">
      <c r="A9">
        <f t="shared" si="0"/>
        <v>4</v>
      </c>
      <c r="B9" s="20" t="s">
        <v>412</v>
      </c>
      <c r="C9" s="151">
        <v>17</v>
      </c>
      <c r="D9" s="151"/>
      <c r="E9" s="20"/>
    </row>
    <row r="10" spans="1:5">
      <c r="A10">
        <f t="shared" si="0"/>
        <v>5</v>
      </c>
      <c r="B10" s="20" t="s">
        <v>268</v>
      </c>
      <c r="C10" s="151">
        <v>26</v>
      </c>
      <c r="D10" s="151"/>
      <c r="E10" s="20"/>
    </row>
    <row r="11" spans="1:5">
      <c r="A11">
        <f t="shared" si="0"/>
        <v>6</v>
      </c>
      <c r="B11" s="20" t="s">
        <v>269</v>
      </c>
      <c r="C11" s="151">
        <v>29</v>
      </c>
      <c r="D11" s="151">
        <v>2</v>
      </c>
      <c r="E11" s="36">
        <f>+D11/C$22</f>
        <v>6.9686411149825784E-3</v>
      </c>
    </row>
    <row r="12" spans="1:5">
      <c r="A12">
        <f t="shared" si="0"/>
        <v>7</v>
      </c>
      <c r="B12" s="20" t="s">
        <v>270</v>
      </c>
      <c r="C12" s="151">
        <v>6</v>
      </c>
      <c r="D12" s="151"/>
      <c r="E12" s="20"/>
    </row>
    <row r="13" spans="1:5">
      <c r="A13">
        <f t="shared" si="0"/>
        <v>8</v>
      </c>
      <c r="B13" s="20" t="s">
        <v>271</v>
      </c>
      <c r="C13" s="151">
        <v>13</v>
      </c>
      <c r="D13" s="151"/>
      <c r="E13" s="20"/>
    </row>
    <row r="14" spans="1:5">
      <c r="A14">
        <f t="shared" si="0"/>
        <v>9</v>
      </c>
      <c r="B14" s="20" t="s">
        <v>272</v>
      </c>
      <c r="C14" s="151">
        <v>20</v>
      </c>
      <c r="D14" s="151">
        <v>19</v>
      </c>
      <c r="E14" s="36">
        <f>+D14/C$22</f>
        <v>6.6202090592334492E-2</v>
      </c>
    </row>
    <row r="15" spans="1:5">
      <c r="A15">
        <f t="shared" si="0"/>
        <v>10</v>
      </c>
      <c r="B15" s="20" t="s">
        <v>273</v>
      </c>
      <c r="C15" s="151">
        <v>2</v>
      </c>
      <c r="D15" s="139"/>
      <c r="E15" s="20"/>
    </row>
    <row r="16" spans="1:5">
      <c r="A16">
        <f t="shared" si="0"/>
        <v>11</v>
      </c>
      <c r="B16" s="20" t="s">
        <v>274</v>
      </c>
      <c r="C16" s="151">
        <v>8</v>
      </c>
      <c r="D16" s="139"/>
      <c r="E16" s="20"/>
    </row>
    <row r="17" spans="1:5">
      <c r="A17">
        <f t="shared" si="0"/>
        <v>12</v>
      </c>
      <c r="B17" s="20" t="s">
        <v>275</v>
      </c>
      <c r="C17" s="151">
        <v>13</v>
      </c>
      <c r="D17" s="139"/>
      <c r="E17" s="20"/>
    </row>
    <row r="18" spans="1:5">
      <c r="A18">
        <f t="shared" si="0"/>
        <v>13</v>
      </c>
      <c r="B18" s="20" t="s">
        <v>276</v>
      </c>
      <c r="C18" s="151">
        <v>25</v>
      </c>
      <c r="D18" s="139"/>
      <c r="E18" s="20"/>
    </row>
    <row r="19" spans="1:5">
      <c r="A19">
        <f t="shared" si="0"/>
        <v>14</v>
      </c>
      <c r="B19" s="20" t="s">
        <v>277</v>
      </c>
      <c r="C19" s="151">
        <v>26</v>
      </c>
      <c r="D19" s="139"/>
      <c r="E19" s="20"/>
    </row>
    <row r="20" spans="1:5">
      <c r="A20">
        <f t="shared" si="0"/>
        <v>15</v>
      </c>
      <c r="B20" s="20" t="s">
        <v>278</v>
      </c>
      <c r="C20" s="151">
        <v>33</v>
      </c>
      <c r="D20" s="139"/>
      <c r="E20" s="20"/>
    </row>
    <row r="21" spans="1:5">
      <c r="A21">
        <f t="shared" si="0"/>
        <v>16</v>
      </c>
      <c r="B21" s="20" t="s">
        <v>279</v>
      </c>
      <c r="C21" s="151">
        <v>39</v>
      </c>
      <c r="D21" s="139"/>
      <c r="E21" s="20"/>
    </row>
    <row r="22" spans="1:5">
      <c r="A22">
        <f t="shared" si="0"/>
        <v>17</v>
      </c>
      <c r="B22" s="20" t="s">
        <v>2</v>
      </c>
      <c r="C22" s="20">
        <f>SUM(C6:C21)</f>
        <v>287</v>
      </c>
      <c r="D22" s="20">
        <f>SUM(D6:D21)</f>
        <v>22</v>
      </c>
      <c r="E22" s="36">
        <f>+D22/C$22</f>
        <v>7.6655052264808357E-2</v>
      </c>
    </row>
  </sheetData>
  <printOptions horizontalCentered="1"/>
  <pageMargins left="0.5" right="0.5" top="1" bottom="1" header="0.5" footer="0.5"/>
  <pageSetup orientation="landscape" r:id="rId1"/>
  <headerFooter>
    <oddHeader>&amp;RSchedule K1.0</oddHeader>
  </headerFooter>
</worksheet>
</file>

<file path=xl/worksheets/sheet13.xml><?xml version="1.0" encoding="utf-8"?>
<worksheet xmlns="http://schemas.openxmlformats.org/spreadsheetml/2006/main" xmlns:r="http://schemas.openxmlformats.org/officeDocument/2006/relationships">
  <dimension ref="A1:E23"/>
  <sheetViews>
    <sheetView view="pageLayout" topLeftCell="A32" workbookViewId="0">
      <selection activeCell="C7" sqref="C7:C16"/>
    </sheetView>
  </sheetViews>
  <sheetFormatPr defaultRowHeight="15"/>
  <cols>
    <col min="1" max="1" width="4.42578125" customWidth="1"/>
    <col min="2" max="3" width="15.7109375" customWidth="1"/>
    <col min="4" max="4" width="18.140625" bestFit="1" customWidth="1"/>
    <col min="5" max="5" width="9.140625" customWidth="1"/>
  </cols>
  <sheetData>
    <row r="1" spans="1:5">
      <c r="B1" s="142" t="s">
        <v>34</v>
      </c>
      <c r="C1" s="142"/>
      <c r="D1" s="142" t="s">
        <v>476</v>
      </c>
      <c r="E1" s="142"/>
    </row>
    <row r="2" spans="1:5">
      <c r="B2" s="142" t="s">
        <v>474</v>
      </c>
      <c r="C2" s="142"/>
      <c r="D2" s="142" t="s">
        <v>476</v>
      </c>
      <c r="E2" s="142"/>
    </row>
    <row r="4" spans="1:5">
      <c r="B4" s="135" t="s">
        <v>450</v>
      </c>
      <c r="C4" s="20"/>
      <c r="D4" s="20"/>
      <c r="E4" s="20"/>
    </row>
    <row r="5" spans="1:5">
      <c r="B5" s="135"/>
      <c r="C5" s="20"/>
      <c r="D5" s="20"/>
      <c r="E5" s="20"/>
    </row>
    <row r="6" spans="1:5">
      <c r="B6" s="143" t="s">
        <v>475</v>
      </c>
      <c r="C6" s="146" t="s">
        <v>249</v>
      </c>
      <c r="D6" s="147"/>
      <c r="E6" s="148"/>
    </row>
    <row r="7" spans="1:5">
      <c r="A7">
        <v>1</v>
      </c>
      <c r="B7" s="113">
        <v>350</v>
      </c>
      <c r="C7" s="150">
        <v>2.75</v>
      </c>
      <c r="D7" s="139"/>
      <c r="E7" s="20"/>
    </row>
    <row r="8" spans="1:5">
      <c r="A8">
        <f>+A7+1</f>
        <v>2</v>
      </c>
      <c r="B8" s="113">
        <v>353</v>
      </c>
      <c r="C8" s="150">
        <v>2.75</v>
      </c>
      <c r="D8" s="139"/>
      <c r="E8" s="20"/>
    </row>
    <row r="9" spans="1:5">
      <c r="A9">
        <f t="shared" ref="A9:A16" si="0">+A8+1</f>
        <v>3</v>
      </c>
      <c r="B9" s="113">
        <v>355</v>
      </c>
      <c r="C9" s="150">
        <v>2.75</v>
      </c>
      <c r="D9" s="139"/>
      <c r="E9" s="36"/>
    </row>
    <row r="10" spans="1:5">
      <c r="A10">
        <f t="shared" si="0"/>
        <v>4</v>
      </c>
      <c r="B10" s="113">
        <v>356</v>
      </c>
      <c r="C10" s="150">
        <v>2.75</v>
      </c>
      <c r="D10" s="139"/>
      <c r="E10" s="20"/>
    </row>
    <row r="11" spans="1:5">
      <c r="A11">
        <f t="shared" si="0"/>
        <v>5</v>
      </c>
      <c r="B11" s="113">
        <v>390</v>
      </c>
      <c r="C11" s="150">
        <v>6.67</v>
      </c>
      <c r="D11" s="139"/>
      <c r="E11" s="20"/>
    </row>
    <row r="12" spans="1:5">
      <c r="A12">
        <f t="shared" si="0"/>
        <v>6</v>
      </c>
      <c r="B12" s="113">
        <v>391</v>
      </c>
      <c r="C12" s="150">
        <v>20</v>
      </c>
      <c r="D12" s="139"/>
      <c r="E12" s="36"/>
    </row>
    <row r="13" spans="1:5">
      <c r="A13">
        <f t="shared" si="0"/>
        <v>7</v>
      </c>
      <c r="B13" s="113">
        <v>392</v>
      </c>
      <c r="C13" s="150">
        <v>20</v>
      </c>
      <c r="D13" s="139"/>
      <c r="E13" s="20"/>
    </row>
    <row r="14" spans="1:5">
      <c r="A14">
        <f t="shared" si="0"/>
        <v>8</v>
      </c>
      <c r="B14" s="113">
        <v>397</v>
      </c>
      <c r="C14" s="150">
        <v>20</v>
      </c>
      <c r="D14" s="139"/>
      <c r="E14" s="20"/>
    </row>
    <row r="15" spans="1:5">
      <c r="A15">
        <f t="shared" si="0"/>
        <v>9</v>
      </c>
      <c r="B15" s="113">
        <v>399</v>
      </c>
      <c r="C15" s="150">
        <v>10</v>
      </c>
      <c r="D15" s="139"/>
      <c r="E15" s="36"/>
    </row>
    <row r="16" spans="1:5">
      <c r="A16">
        <f t="shared" si="0"/>
        <v>10</v>
      </c>
      <c r="B16" s="113">
        <v>101</v>
      </c>
      <c r="C16" s="150">
        <v>6.67</v>
      </c>
      <c r="D16" s="139"/>
      <c r="E16" s="20"/>
    </row>
    <row r="17" spans="2:5">
      <c r="B17" s="20"/>
      <c r="C17" s="139"/>
      <c r="D17" s="139"/>
      <c r="E17" s="20"/>
    </row>
    <row r="18" spans="2:5">
      <c r="B18" s="20"/>
      <c r="C18" s="139"/>
      <c r="D18" s="139"/>
      <c r="E18" s="20"/>
    </row>
    <row r="19" spans="2:5">
      <c r="B19" s="20"/>
      <c r="C19" s="139"/>
      <c r="D19" s="139"/>
      <c r="E19" s="20"/>
    </row>
    <row r="20" spans="2:5">
      <c r="B20" s="20"/>
      <c r="C20" s="139"/>
      <c r="D20" s="139"/>
      <c r="E20" s="20"/>
    </row>
    <row r="21" spans="2:5">
      <c r="B21" s="20"/>
      <c r="C21" s="139"/>
      <c r="D21" s="139"/>
      <c r="E21" s="20"/>
    </row>
    <row r="22" spans="2:5">
      <c r="B22" s="20"/>
      <c r="C22" s="139"/>
      <c r="D22" s="139"/>
      <c r="E22" s="20"/>
    </row>
    <row r="23" spans="2:5">
      <c r="B23" s="20"/>
      <c r="C23" s="20"/>
      <c r="D23" s="20"/>
      <c r="E23" s="36"/>
    </row>
  </sheetData>
  <printOptions horizontalCentered="1"/>
  <pageMargins left="0.5" right="0.5" top="1" bottom="1" header="0.5" footer="0.5"/>
  <pageSetup orientation="landscape" r:id="rId1"/>
  <headerFooter>
    <oddHeader>&amp;RSchedule L1.0</oddHeader>
  </headerFooter>
</worksheet>
</file>

<file path=xl/worksheets/sheet2.xml><?xml version="1.0" encoding="utf-8"?>
<worksheet xmlns="http://schemas.openxmlformats.org/spreadsheetml/2006/main" xmlns:r="http://schemas.openxmlformats.org/officeDocument/2006/relationships">
  <dimension ref="A1:K33"/>
  <sheetViews>
    <sheetView view="pageLayout" topLeftCell="A45" workbookViewId="0">
      <selection activeCell="A2" sqref="A2"/>
    </sheetView>
  </sheetViews>
  <sheetFormatPr defaultRowHeight="15"/>
  <cols>
    <col min="1" max="1" width="4.42578125" customWidth="1"/>
    <col min="2" max="2" width="30.7109375" customWidth="1"/>
    <col min="3" max="3" width="26.85546875" customWidth="1"/>
    <col min="4" max="4" width="12.85546875" customWidth="1"/>
    <col min="5" max="5" width="15.28515625" customWidth="1"/>
    <col min="6" max="6" width="3.85546875" hidden="1" customWidth="1"/>
    <col min="7" max="7" width="14.85546875" customWidth="1"/>
    <col min="8" max="8" width="13" customWidth="1"/>
    <col min="9" max="9" width="13.7109375" customWidth="1"/>
    <col min="10" max="10" width="13.140625" customWidth="1"/>
    <col min="11" max="11" width="13.5703125" customWidth="1"/>
  </cols>
  <sheetData>
    <row r="1" spans="1:11">
      <c r="B1" s="152" t="s">
        <v>34</v>
      </c>
      <c r="C1" s="152"/>
      <c r="D1" s="152"/>
      <c r="E1" s="152"/>
      <c r="F1" s="152"/>
      <c r="G1" s="152"/>
      <c r="H1" s="152"/>
      <c r="I1" s="152"/>
      <c r="J1" s="152"/>
      <c r="K1" s="152"/>
    </row>
    <row r="2" spans="1:11">
      <c r="B2" s="152" t="s">
        <v>241</v>
      </c>
      <c r="C2" s="152"/>
      <c r="D2" s="152"/>
      <c r="E2" s="152"/>
      <c r="F2" s="152"/>
      <c r="G2" s="152"/>
      <c r="H2" s="152"/>
      <c r="I2" s="152"/>
      <c r="J2" s="152"/>
      <c r="K2" s="152"/>
    </row>
    <row r="4" spans="1:11">
      <c r="E4" s="83" t="s">
        <v>232</v>
      </c>
      <c r="F4" s="83"/>
      <c r="G4" s="83" t="s">
        <v>233</v>
      </c>
      <c r="H4" s="83" t="s">
        <v>234</v>
      </c>
      <c r="I4" s="83" t="s">
        <v>235</v>
      </c>
      <c r="J4" s="83" t="s">
        <v>236</v>
      </c>
      <c r="K4" s="83" t="s">
        <v>237</v>
      </c>
    </row>
    <row r="5" spans="1:11">
      <c r="H5" s="152" t="s">
        <v>230</v>
      </c>
      <c r="I5" s="152"/>
      <c r="J5" s="152"/>
      <c r="K5" s="152"/>
    </row>
    <row r="6" spans="1:11">
      <c r="H6" s="153" t="s">
        <v>282</v>
      </c>
      <c r="I6" s="153"/>
      <c r="J6" s="153"/>
      <c r="K6" s="153"/>
    </row>
    <row r="7" spans="1:11">
      <c r="E7" s="71" t="s">
        <v>2</v>
      </c>
      <c r="F7" s="71"/>
      <c r="G7" s="71"/>
      <c r="H7" s="71" t="s">
        <v>2</v>
      </c>
      <c r="I7" s="71"/>
      <c r="J7" s="71"/>
      <c r="K7" s="71"/>
    </row>
    <row r="8" spans="1:11">
      <c r="C8" t="s">
        <v>294</v>
      </c>
      <c r="E8" s="71" t="s">
        <v>31</v>
      </c>
      <c r="F8" s="71"/>
      <c r="G8" s="71" t="s">
        <v>115</v>
      </c>
      <c r="H8" s="71" t="s">
        <v>33</v>
      </c>
      <c r="I8" s="71" t="s">
        <v>29</v>
      </c>
      <c r="J8" s="71" t="s">
        <v>26</v>
      </c>
      <c r="K8" s="71" t="s">
        <v>43</v>
      </c>
    </row>
    <row r="9" spans="1:11">
      <c r="C9" s="25" t="s">
        <v>295</v>
      </c>
      <c r="E9" s="73" t="s">
        <v>113</v>
      </c>
      <c r="F9" s="73"/>
      <c r="G9" s="73" t="s">
        <v>113</v>
      </c>
      <c r="H9" s="73" t="s">
        <v>113</v>
      </c>
      <c r="I9" s="73" t="s">
        <v>113</v>
      </c>
      <c r="J9" s="73" t="s">
        <v>113</v>
      </c>
      <c r="K9" s="73" t="s">
        <v>113</v>
      </c>
    </row>
    <row r="11" spans="1:11">
      <c r="A11">
        <v>1</v>
      </c>
      <c r="B11" t="s">
        <v>243</v>
      </c>
      <c r="C11" t="s">
        <v>297</v>
      </c>
      <c r="D11" s="71" t="s">
        <v>283</v>
      </c>
      <c r="E11" s="5">
        <f>+Form1Exp!E12</f>
        <v>271171</v>
      </c>
      <c r="F11" s="5"/>
      <c r="G11" s="5">
        <f>+Form1Exp!G12</f>
        <v>271171</v>
      </c>
      <c r="H11" s="5">
        <f>+Form1Exp!H12</f>
        <v>0</v>
      </c>
      <c r="I11" s="5">
        <f>+Form1Exp!I12</f>
        <v>0</v>
      </c>
      <c r="J11" s="5">
        <f>+Form1Exp!J12</f>
        <v>0</v>
      </c>
      <c r="K11" s="5">
        <f>+Form1Exp!K12</f>
        <v>0</v>
      </c>
    </row>
    <row r="12" spans="1:11">
      <c r="A12">
        <f>+A11+1</f>
        <v>2</v>
      </c>
      <c r="B12" t="s">
        <v>242</v>
      </c>
      <c r="C12" t="s">
        <v>298</v>
      </c>
      <c r="D12" s="71" t="s">
        <v>283</v>
      </c>
      <c r="E12" s="5">
        <f>+Form1Exp!E19</f>
        <v>328073631.72000003</v>
      </c>
      <c r="F12" s="5"/>
      <c r="G12" s="5">
        <f>+Form1Exp!G19</f>
        <v>328023623.82508713</v>
      </c>
      <c r="H12" s="5">
        <f>+Form1Exp!H19</f>
        <v>50007.894912891978</v>
      </c>
      <c r="I12" s="5">
        <f>+Form1Exp!I19</f>
        <v>4546.1722648083623</v>
      </c>
      <c r="J12" s="5">
        <f>+Form1Exp!J19</f>
        <v>2273.0861324041812</v>
      </c>
      <c r="K12" s="5">
        <f>+Form1Exp!K19</f>
        <v>43188.636515679442</v>
      </c>
    </row>
    <row r="13" spans="1:11">
      <c r="A13">
        <f t="shared" ref="A13:A33" si="0">+A12+1</f>
        <v>3</v>
      </c>
      <c r="B13" t="s">
        <v>244</v>
      </c>
      <c r="C13" t="s">
        <v>439</v>
      </c>
      <c r="D13" s="71" t="s">
        <v>283</v>
      </c>
      <c r="E13" s="5">
        <f>+Form1Exp!E34</f>
        <v>27236804</v>
      </c>
      <c r="F13" s="5"/>
      <c r="G13" s="5">
        <f>+Form1Exp!G34</f>
        <v>26729608.947897777</v>
      </c>
      <c r="H13" s="5">
        <f>+Form1Exp!H34</f>
        <v>507195.05210222537</v>
      </c>
      <c r="I13" s="5">
        <f>+Form1Exp!I34</f>
        <v>32637.946116957071</v>
      </c>
      <c r="J13" s="5">
        <f>+Form1Exp!J34</f>
        <v>598.66174962712739</v>
      </c>
      <c r="K13" s="5">
        <f>+Form1Exp!K34</f>
        <v>473958.44423564122</v>
      </c>
    </row>
    <row r="14" spans="1:11">
      <c r="A14">
        <f t="shared" si="0"/>
        <v>4</v>
      </c>
      <c r="B14" t="s">
        <v>245</v>
      </c>
      <c r="C14" t="s">
        <v>299</v>
      </c>
      <c r="D14" s="71" t="s">
        <v>283</v>
      </c>
      <c r="E14" s="5">
        <f>+Form1Exp!E38</f>
        <v>34167</v>
      </c>
      <c r="F14" s="5"/>
      <c r="G14" s="5">
        <f>+Form1Exp!G38</f>
        <v>31547.92682926829</v>
      </c>
      <c r="H14" s="5">
        <f>+Form1Exp!H38</f>
        <v>2619.0731707317073</v>
      </c>
      <c r="I14" s="5">
        <f>+Form1Exp!I38</f>
        <v>238.09756097560975</v>
      </c>
      <c r="J14" s="5">
        <f>+Form1Exp!J38</f>
        <v>119.04878048780488</v>
      </c>
      <c r="K14" s="5">
        <f>+Form1Exp!K38</f>
        <v>2261.9268292682927</v>
      </c>
    </row>
    <row r="15" spans="1:11">
      <c r="A15">
        <f t="shared" si="0"/>
        <v>5</v>
      </c>
      <c r="B15" t="s">
        <v>64</v>
      </c>
      <c r="C15" t="s">
        <v>300</v>
      </c>
      <c r="D15" s="71" t="s">
        <v>283</v>
      </c>
      <c r="E15" s="5">
        <f>+Form1Exp!E42</f>
        <v>1134044</v>
      </c>
      <c r="F15" s="5"/>
      <c r="G15" s="5">
        <f>+Form1Exp!G42</f>
        <v>1134044</v>
      </c>
      <c r="H15" s="5">
        <f>+Form1Exp!H42</f>
        <v>0</v>
      </c>
      <c r="I15" s="5">
        <f>+Form1Exp!I42</f>
        <v>0</v>
      </c>
      <c r="J15" s="5">
        <f>+Form1Exp!J42</f>
        <v>0</v>
      </c>
      <c r="K15" s="5">
        <f>+Form1Exp!K42</f>
        <v>0</v>
      </c>
    </row>
    <row r="16" spans="1:11">
      <c r="A16">
        <f t="shared" si="0"/>
        <v>6</v>
      </c>
      <c r="B16" t="s">
        <v>246</v>
      </c>
      <c r="C16" t="s">
        <v>301</v>
      </c>
      <c r="D16" s="71" t="s">
        <v>283</v>
      </c>
      <c r="E16" s="5">
        <f>+Form1Exp!E55</f>
        <v>10649020</v>
      </c>
      <c r="F16" s="5"/>
      <c r="G16" s="5">
        <f>+Form1Exp!G55</f>
        <v>10403550.360650113</v>
      </c>
      <c r="H16" s="5">
        <f>+Form1Exp!H55</f>
        <v>245469.63934988854</v>
      </c>
      <c r="I16" s="5">
        <f>+Form1Exp!I55</f>
        <v>13094.25288792147</v>
      </c>
      <c r="J16" s="5">
        <f>+Form1Exp!J55</f>
        <v>556.2278998401008</v>
      </c>
      <c r="K16" s="5">
        <f>+Form1Exp!K55</f>
        <v>231819.15856212701</v>
      </c>
    </row>
    <row r="17" spans="1:11">
      <c r="A17">
        <f t="shared" si="0"/>
        <v>7</v>
      </c>
      <c r="B17" t="s">
        <v>3</v>
      </c>
      <c r="C17" t="s">
        <v>302</v>
      </c>
      <c r="D17" s="71" t="s">
        <v>283</v>
      </c>
      <c r="E17" s="5">
        <f>+Form1Exp!E64</f>
        <v>1891778</v>
      </c>
      <c r="F17" s="5"/>
      <c r="G17" s="5">
        <f>+Form1Exp!G64</f>
        <v>1544718.3754597122</v>
      </c>
      <c r="H17" s="5">
        <f>+Form1Exp!H64</f>
        <v>347059.62454028783</v>
      </c>
      <c r="I17" s="5">
        <f>+Form1Exp!I64</f>
        <v>94623.164645831363</v>
      </c>
      <c r="J17" s="5">
        <f>+Form1Exp!J64</f>
        <v>97212.033791378461</v>
      </c>
      <c r="K17" s="5">
        <f>+Form1Exp!K64</f>
        <v>155224.42610307803</v>
      </c>
    </row>
    <row r="18" spans="1:11">
      <c r="A18">
        <f t="shared" si="0"/>
        <v>8</v>
      </c>
      <c r="B18" t="s">
        <v>247</v>
      </c>
      <c r="C18" t="s">
        <v>303</v>
      </c>
      <c r="D18" s="71" t="s">
        <v>283</v>
      </c>
      <c r="E18" s="5">
        <f>+Form1Exp!E69</f>
        <v>558681</v>
      </c>
      <c r="F18" s="5"/>
      <c r="G18" s="5">
        <f>+Form1Exp!G69</f>
        <v>552633.78664538346</v>
      </c>
      <c r="H18" s="5">
        <f>+Form1Exp!H69</f>
        <v>6047.213354616586</v>
      </c>
      <c r="I18" s="5">
        <f>+Form1Exp!I69</f>
        <v>5429.7382583892577</v>
      </c>
      <c r="J18" s="5">
        <f>+Form1Exp!J69</f>
        <v>0</v>
      </c>
      <c r="K18" s="5">
        <f>+Form1Exp!K69</f>
        <v>617.47509622732844</v>
      </c>
    </row>
    <row r="19" spans="1:11">
      <c r="A19">
        <f t="shared" si="0"/>
        <v>9</v>
      </c>
      <c r="B19" t="s">
        <v>201</v>
      </c>
      <c r="C19" t="s">
        <v>437</v>
      </c>
      <c r="D19" s="71" t="s">
        <v>283</v>
      </c>
      <c r="E19" s="5">
        <f>+Form1Exp!E76</f>
        <v>1976785</v>
      </c>
      <c r="F19" s="5"/>
      <c r="G19" s="5">
        <f>+Form1Exp!G76</f>
        <v>1489701.7852046366</v>
      </c>
      <c r="H19" s="5">
        <f>+Form1Exp!H76</f>
        <v>487083.21479536348</v>
      </c>
      <c r="I19" s="5">
        <f>+Form1Exp!I76</f>
        <v>147699.68872967959</v>
      </c>
      <c r="J19" s="5">
        <f>+Form1Exp!J76</f>
        <v>195223.53075397841</v>
      </c>
      <c r="K19" s="5">
        <f>+Form1Exp!K76</f>
        <v>144159.99531170551</v>
      </c>
    </row>
    <row r="20" spans="1:11">
      <c r="A20">
        <f t="shared" si="0"/>
        <v>10</v>
      </c>
      <c r="B20" t="s">
        <v>248</v>
      </c>
      <c r="C20" t="s">
        <v>304</v>
      </c>
      <c r="D20" s="71" t="s">
        <v>283</v>
      </c>
      <c r="E20" s="5">
        <f>-Form1Exp!E79</f>
        <v>-22427764</v>
      </c>
      <c r="F20" s="5"/>
      <c r="G20" s="5">
        <f>-Form1Exp!G79</f>
        <v>-22427764</v>
      </c>
      <c r="H20" s="5">
        <f>-Form1Exp!H79</f>
        <v>0</v>
      </c>
      <c r="I20" s="5">
        <f>-Form1Exp!I79</f>
        <v>0</v>
      </c>
      <c r="J20" s="5">
        <f>-Form1Exp!J79</f>
        <v>0</v>
      </c>
      <c r="K20" s="5">
        <f>-Form1Exp!K79</f>
        <v>0</v>
      </c>
    </row>
    <row r="21" spans="1:11">
      <c r="A21">
        <f t="shared" si="0"/>
        <v>11</v>
      </c>
      <c r="B21" t="s">
        <v>204</v>
      </c>
      <c r="C21" t="s">
        <v>305</v>
      </c>
      <c r="D21" s="71" t="s">
        <v>283</v>
      </c>
      <c r="E21" s="5">
        <f>SUM(E11:E20)</f>
        <v>349398317.72000003</v>
      </c>
      <c r="F21" s="5"/>
      <c r="G21" s="5">
        <f>SUM(G11:G20)</f>
        <v>347752836.00777411</v>
      </c>
      <c r="H21" s="5">
        <f>SUM(H11:H20)</f>
        <v>1645481.7122260057</v>
      </c>
      <c r="I21" s="5">
        <f>SUM(I11:I20)</f>
        <v>298269.06046456273</v>
      </c>
      <c r="J21" s="5">
        <f>SUM(J11:J20)</f>
        <v>295982.58910771611</v>
      </c>
      <c r="K21" s="5">
        <f>SUM(K11:K20)</f>
        <v>1051230.0626537269</v>
      </c>
    </row>
    <row r="22" spans="1:11">
      <c r="A22">
        <f t="shared" si="0"/>
        <v>12</v>
      </c>
      <c r="B22" t="s">
        <v>21</v>
      </c>
      <c r="C22" t="s">
        <v>438</v>
      </c>
      <c r="D22" s="71" t="s">
        <v>283</v>
      </c>
      <c r="H22" s="10">
        <f>+Margin!K17</f>
        <v>127613.73257054269</v>
      </c>
      <c r="I22" s="10">
        <f>+Margin!H15</f>
        <v>12702.220385649794</v>
      </c>
      <c r="J22" s="10">
        <f>+Margin!I15</f>
        <v>399.73158561074524</v>
      </c>
      <c r="K22" s="10">
        <f>+Margin!J15</f>
        <v>114511.78059928215</v>
      </c>
    </row>
    <row r="23" spans="1:11">
      <c r="A23">
        <f t="shared" si="0"/>
        <v>13</v>
      </c>
      <c r="B23" t="s">
        <v>22</v>
      </c>
      <c r="C23" t="s">
        <v>306</v>
      </c>
      <c r="D23" s="71" t="s">
        <v>283</v>
      </c>
      <c r="H23" s="10">
        <f>SUM(H21:H22)</f>
        <v>1773095.4447965485</v>
      </c>
      <c r="I23" s="10">
        <f>SUM(I21:I22)</f>
        <v>310971.28085021256</v>
      </c>
      <c r="J23" s="10">
        <f>SUM(J21:J22)</f>
        <v>296382.32069332688</v>
      </c>
      <c r="K23" s="10">
        <f>SUM(K21:K22)</f>
        <v>1165741.843253009</v>
      </c>
    </row>
    <row r="24" spans="1:11">
      <c r="A24">
        <f t="shared" si="0"/>
        <v>14</v>
      </c>
      <c r="D24" s="71"/>
    </row>
    <row r="25" spans="1:11">
      <c r="A25">
        <f t="shared" si="0"/>
        <v>15</v>
      </c>
      <c r="B25" t="s">
        <v>23</v>
      </c>
      <c r="C25" t="s">
        <v>441</v>
      </c>
      <c r="D25" s="71" t="s">
        <v>251</v>
      </c>
      <c r="H25" s="5">
        <f>+Usage!R61</f>
        <v>1838782</v>
      </c>
      <c r="I25" s="5">
        <f>+Usage!R13</f>
        <v>142693</v>
      </c>
      <c r="J25" s="5">
        <f>+Usage!R32</f>
        <v>65074</v>
      </c>
      <c r="K25" s="5">
        <f>+Usage!R59</f>
        <v>1631015</v>
      </c>
    </row>
    <row r="26" spans="1:11">
      <c r="A26">
        <f t="shared" si="0"/>
        <v>16</v>
      </c>
      <c r="D26" s="81"/>
      <c r="H26" s="5"/>
      <c r="I26" s="5"/>
      <c r="J26" s="5"/>
      <c r="K26" s="5"/>
    </row>
    <row r="27" spans="1:11">
      <c r="A27">
        <f t="shared" si="0"/>
        <v>17</v>
      </c>
      <c r="D27" s="83"/>
      <c r="H27" s="5"/>
      <c r="I27" s="5"/>
      <c r="J27" s="5"/>
      <c r="K27" s="5"/>
    </row>
    <row r="28" spans="1:11">
      <c r="A28">
        <f t="shared" si="0"/>
        <v>18</v>
      </c>
      <c r="B28" s="11" t="s">
        <v>249</v>
      </c>
      <c r="C28" s="12"/>
      <c r="D28" s="81"/>
      <c r="H28" s="5"/>
      <c r="I28" s="5"/>
      <c r="J28" s="5"/>
      <c r="K28" s="5"/>
    </row>
    <row r="29" spans="1:11">
      <c r="A29">
        <f t="shared" si="0"/>
        <v>19</v>
      </c>
      <c r="B29" s="14" t="s">
        <v>289</v>
      </c>
      <c r="C29" s="14" t="s">
        <v>440</v>
      </c>
      <c r="D29" s="81" t="s">
        <v>307</v>
      </c>
      <c r="H29" s="26">
        <f>+H30*12</f>
        <v>11.571325658810332</v>
      </c>
      <c r="I29" s="26">
        <f t="shared" ref="I29:K29" si="1">+I30*12</f>
        <v>26.151635820976161</v>
      </c>
      <c r="J29" s="26">
        <f t="shared" si="1"/>
        <v>54.654514065831556</v>
      </c>
      <c r="K29" s="26">
        <f t="shared" si="1"/>
        <v>8.5768077663516937</v>
      </c>
    </row>
    <row r="30" spans="1:11">
      <c r="A30">
        <f t="shared" si="0"/>
        <v>20</v>
      </c>
      <c r="B30" t="s">
        <v>290</v>
      </c>
      <c r="C30" t="s">
        <v>296</v>
      </c>
      <c r="D30" s="71" t="s">
        <v>250</v>
      </c>
      <c r="H30" s="26">
        <f>+H23/H25</f>
        <v>0.96427713823419436</v>
      </c>
      <c r="I30" s="26">
        <f>+I23/I25</f>
        <v>2.1793029850813466</v>
      </c>
      <c r="J30" s="26">
        <f>+J23/J25</f>
        <v>4.5545428388192963</v>
      </c>
      <c r="K30" s="26">
        <f>+K23/K25</f>
        <v>0.71473398052930781</v>
      </c>
    </row>
    <row r="31" spans="1:11">
      <c r="A31">
        <f t="shared" si="0"/>
        <v>21</v>
      </c>
      <c r="B31" t="s">
        <v>291</v>
      </c>
      <c r="C31" t="s">
        <v>442</v>
      </c>
      <c r="D31" s="81" t="s">
        <v>308</v>
      </c>
      <c r="H31" s="82">
        <f>+H29/52</f>
        <v>0.22252549343866024</v>
      </c>
      <c r="I31" s="82">
        <f>+I29/52</f>
        <v>0.50291607348031075</v>
      </c>
      <c r="J31" s="82">
        <f>+J29/52</f>
        <v>1.0510483474198375</v>
      </c>
      <c r="K31" s="82">
        <f>+K29/52</f>
        <v>0.16493861089137873</v>
      </c>
    </row>
    <row r="32" spans="1:11">
      <c r="A32">
        <f t="shared" si="0"/>
        <v>22</v>
      </c>
      <c r="B32" t="s">
        <v>292</v>
      </c>
      <c r="C32" t="s">
        <v>443</v>
      </c>
      <c r="D32" s="81" t="s">
        <v>309</v>
      </c>
      <c r="H32" s="82">
        <f>+H31/5</f>
        <v>4.4505098687732045E-2</v>
      </c>
      <c r="I32" s="82">
        <f t="shared" ref="I32:K32" si="2">+I31/5</f>
        <v>0.10058321469606216</v>
      </c>
      <c r="J32" s="82">
        <f t="shared" si="2"/>
        <v>0.21020966948396752</v>
      </c>
      <c r="K32" s="82">
        <f t="shared" si="2"/>
        <v>3.2987722178275745E-2</v>
      </c>
    </row>
    <row r="33" spans="1:11">
      <c r="A33">
        <f t="shared" si="0"/>
        <v>23</v>
      </c>
      <c r="B33" t="s">
        <v>293</v>
      </c>
      <c r="C33" t="s">
        <v>444</v>
      </c>
      <c r="D33" s="81" t="s">
        <v>310</v>
      </c>
      <c r="H33" s="82">
        <f>+H32/16</f>
        <v>2.7815686679832528E-3</v>
      </c>
      <c r="I33" s="82">
        <f>+I32/16</f>
        <v>6.2864509185038848E-3</v>
      </c>
      <c r="J33" s="82">
        <f>+J32/16</f>
        <v>1.313810434274797E-2</v>
      </c>
      <c r="K33" s="82">
        <f>+K32/16</f>
        <v>2.0617326361422341E-3</v>
      </c>
    </row>
  </sheetData>
  <mergeCells count="4">
    <mergeCell ref="H5:K5"/>
    <mergeCell ref="H6:K6"/>
    <mergeCell ref="B1:K1"/>
    <mergeCell ref="B2:K2"/>
  </mergeCells>
  <pageMargins left="0.7" right="0.7" top="0.75" bottom="0.75" header="0.3" footer="0.3"/>
  <pageSetup scale="77" orientation="landscape" r:id="rId1"/>
  <headerFooter>
    <oddHeader>&amp;RSchedule A1.0</oddHeader>
    <oddFooter>&amp;R&amp;D</oddFooter>
  </headerFooter>
</worksheet>
</file>

<file path=xl/worksheets/sheet3.xml><?xml version="1.0" encoding="utf-8"?>
<worksheet xmlns="http://schemas.openxmlformats.org/spreadsheetml/2006/main" xmlns:r="http://schemas.openxmlformats.org/officeDocument/2006/relationships">
  <sheetPr>
    <tabColor rgb="FFFFC000"/>
    <pageSetUpPr fitToPage="1"/>
  </sheetPr>
  <dimension ref="A1:L41"/>
  <sheetViews>
    <sheetView view="pageLayout" topLeftCell="A43" workbookViewId="0">
      <selection activeCell="A2" sqref="A2:L2"/>
    </sheetView>
  </sheetViews>
  <sheetFormatPr defaultRowHeight="15"/>
  <cols>
    <col min="1" max="1" width="5.28515625" customWidth="1"/>
    <col min="2" max="2" width="7" customWidth="1"/>
    <col min="3" max="3" width="31.28515625" customWidth="1"/>
    <col min="4" max="4" width="11.28515625" customWidth="1"/>
    <col min="5" max="5" width="2.140625" customWidth="1"/>
    <col min="6" max="6" width="14.28515625" bestFit="1" customWidth="1"/>
    <col min="7" max="7" width="17" customWidth="1"/>
    <col min="8" max="8" width="13.5703125" customWidth="1"/>
    <col min="9" max="9" width="14.28515625" bestFit="1" customWidth="1"/>
    <col min="10" max="10" width="13.28515625" bestFit="1" customWidth="1"/>
    <col min="11" max="11" width="12.28515625" customWidth="1"/>
    <col min="12" max="12" width="13.28515625" bestFit="1" customWidth="1"/>
    <col min="13" max="13" width="2" customWidth="1"/>
  </cols>
  <sheetData>
    <row r="1" spans="1:12">
      <c r="B1" s="152" t="s">
        <v>34</v>
      </c>
      <c r="C1" s="152"/>
      <c r="D1" s="152"/>
      <c r="E1" s="152"/>
      <c r="F1" s="152"/>
      <c r="G1" s="152"/>
      <c r="H1" s="152"/>
      <c r="I1" s="152"/>
      <c r="J1" s="152"/>
      <c r="K1" s="152"/>
      <c r="L1" s="152"/>
    </row>
    <row r="2" spans="1:12">
      <c r="A2" s="152" t="s">
        <v>197</v>
      </c>
      <c r="B2" s="152"/>
      <c r="C2" s="152"/>
      <c r="D2" s="152"/>
      <c r="E2" s="152"/>
      <c r="F2" s="152"/>
      <c r="G2" s="152"/>
      <c r="H2" s="152"/>
      <c r="I2" s="152"/>
      <c r="J2" s="152"/>
      <c r="K2" s="152"/>
      <c r="L2" s="152"/>
    </row>
    <row r="4" spans="1:12">
      <c r="B4" s="135" t="s">
        <v>450</v>
      </c>
      <c r="E4" s="68"/>
      <c r="F4" s="133" t="s">
        <v>232</v>
      </c>
      <c r="G4" s="133" t="s">
        <v>233</v>
      </c>
      <c r="H4" s="133" t="s">
        <v>422</v>
      </c>
      <c r="I4" s="133" t="s">
        <v>235</v>
      </c>
      <c r="J4" s="133" t="s">
        <v>236</v>
      </c>
      <c r="K4" s="133" t="s">
        <v>237</v>
      </c>
      <c r="L4" s="133" t="s">
        <v>238</v>
      </c>
    </row>
    <row r="5" spans="1:12">
      <c r="I5" s="152" t="s">
        <v>230</v>
      </c>
      <c r="J5" s="152"/>
      <c r="K5" s="152"/>
      <c r="L5" s="152"/>
    </row>
    <row r="6" spans="1:12">
      <c r="I6" s="153" t="s">
        <v>231</v>
      </c>
      <c r="J6" s="153"/>
      <c r="K6" s="153"/>
      <c r="L6" s="153"/>
    </row>
    <row r="7" spans="1:12">
      <c r="F7" s="133" t="s">
        <v>2</v>
      </c>
      <c r="G7" s="37" t="s">
        <v>186</v>
      </c>
      <c r="H7" s="37" t="s">
        <v>115</v>
      </c>
      <c r="I7" s="37" t="s">
        <v>206</v>
      </c>
      <c r="J7" s="37" t="s">
        <v>29</v>
      </c>
      <c r="K7" s="37" t="s">
        <v>26</v>
      </c>
      <c r="L7" s="37" t="s">
        <v>25</v>
      </c>
    </row>
    <row r="8" spans="1:12">
      <c r="F8" s="40" t="s">
        <v>196</v>
      </c>
      <c r="G8" s="52" t="s">
        <v>32</v>
      </c>
      <c r="H8" s="73" t="s">
        <v>129</v>
      </c>
      <c r="I8" s="55" t="s">
        <v>129</v>
      </c>
      <c r="J8" s="55" t="s">
        <v>129</v>
      </c>
      <c r="K8" s="55" t="s">
        <v>129</v>
      </c>
      <c r="L8" s="55" t="s">
        <v>129</v>
      </c>
    </row>
    <row r="9" spans="1:12">
      <c r="A9" s="42">
        <v>1</v>
      </c>
      <c r="B9" s="11" t="s">
        <v>89</v>
      </c>
      <c r="C9" s="11"/>
      <c r="F9" s="41"/>
      <c r="G9" s="41"/>
      <c r="H9" s="73"/>
    </row>
    <row r="10" spans="1:12">
      <c r="A10" s="42">
        <f>+A9+1</f>
        <v>2</v>
      </c>
      <c r="B10">
        <v>341</v>
      </c>
      <c r="C10" t="s">
        <v>36</v>
      </c>
      <c r="D10" t="s">
        <v>91</v>
      </c>
      <c r="F10" s="134">
        <v>1100780</v>
      </c>
      <c r="G10" s="71">
        <v>100</v>
      </c>
      <c r="H10" s="5">
        <f>VLOOKUP($G10,AF!$B$25:$I$31,4)*$F10</f>
        <v>1100780</v>
      </c>
      <c r="I10" s="5">
        <f>VLOOKUP($G10,AF!$B$25:$I$31,5)*$F10</f>
        <v>0</v>
      </c>
      <c r="J10" s="5">
        <f>VLOOKUP($G10,AF!$B$25:$I$31,6)*$F10</f>
        <v>0</v>
      </c>
      <c r="K10" s="5">
        <f>VLOOKUP($G10,AF!$B$25:$I$31,7)*$F10</f>
        <v>0</v>
      </c>
      <c r="L10" s="5">
        <f>VLOOKUP($G10,AF!$B$25:$I$31,8)*$F10</f>
        <v>0</v>
      </c>
    </row>
    <row r="11" spans="1:12">
      <c r="A11" s="42">
        <f t="shared" ref="A11:A33" si="0">+A10+1</f>
        <v>3</v>
      </c>
      <c r="B11">
        <v>344</v>
      </c>
      <c r="C11" t="s">
        <v>90</v>
      </c>
      <c r="D11" t="s">
        <v>92</v>
      </c>
      <c r="F11" s="116">
        <v>1140000</v>
      </c>
      <c r="G11" s="71">
        <v>100</v>
      </c>
      <c r="H11" s="16">
        <f>VLOOKUP($G11,AF!$B$25:$I$31,4)*$F11</f>
        <v>1140000</v>
      </c>
      <c r="I11" s="16">
        <f>VLOOKUP($G11,AF!$B$25:$I$31,5)*$F11</f>
        <v>0</v>
      </c>
      <c r="J11" s="16">
        <f>VLOOKUP($G11,AF!$B$25:$I$31,6)*$F11</f>
        <v>0</v>
      </c>
      <c r="K11" s="16">
        <f>VLOOKUP($G11,AF!$B$25:$I$31,7)*$F11</f>
        <v>0</v>
      </c>
      <c r="L11" s="16">
        <f>VLOOKUP($G11,AF!$B$25:$I$31,8)*$F11</f>
        <v>0</v>
      </c>
    </row>
    <row r="12" spans="1:12">
      <c r="A12" s="42">
        <f t="shared" si="0"/>
        <v>4</v>
      </c>
      <c r="C12" t="s">
        <v>2</v>
      </c>
      <c r="F12" s="10">
        <f>SUM(F10:F11)</f>
        <v>2240780</v>
      </c>
      <c r="G12" s="71"/>
      <c r="H12" s="10">
        <f>SUM(H10:H11)</f>
        <v>2240780</v>
      </c>
      <c r="I12" s="10">
        <f t="shared" ref="I12:L12" si="1">SUM(I10:I11)</f>
        <v>0</v>
      </c>
      <c r="J12" s="10">
        <f t="shared" si="1"/>
        <v>0</v>
      </c>
      <c r="K12" s="10">
        <f t="shared" si="1"/>
        <v>0</v>
      </c>
      <c r="L12" s="10">
        <f t="shared" si="1"/>
        <v>0</v>
      </c>
    </row>
    <row r="13" spans="1:12">
      <c r="A13" s="42">
        <f t="shared" si="0"/>
        <v>5</v>
      </c>
      <c r="G13" s="71"/>
    </row>
    <row r="14" spans="1:12">
      <c r="A14" s="42">
        <f t="shared" si="0"/>
        <v>6</v>
      </c>
      <c r="B14" s="11" t="s">
        <v>93</v>
      </c>
      <c r="C14" s="11"/>
      <c r="G14" s="71"/>
    </row>
    <row r="15" spans="1:12">
      <c r="A15" s="42">
        <f t="shared" si="0"/>
        <v>7</v>
      </c>
      <c r="B15">
        <v>350</v>
      </c>
      <c r="C15" t="s">
        <v>35</v>
      </c>
      <c r="D15" t="s">
        <v>95</v>
      </c>
      <c r="F15" s="114">
        <v>363809</v>
      </c>
      <c r="G15" s="110" t="s">
        <v>386</v>
      </c>
      <c r="H15" s="78">
        <f>+F15-I15</f>
        <v>298317.08554551739</v>
      </c>
      <c r="I15" s="5">
        <f>+'TransPlnt '!K84</f>
        <v>65491.914454482627</v>
      </c>
      <c r="J15" s="5">
        <f>+'TransPlnt '!K11</f>
        <v>33599.79724721481</v>
      </c>
      <c r="K15" s="5">
        <f>+'TransPlnt '!K48</f>
        <v>0</v>
      </c>
      <c r="L15" s="5">
        <f>+'TransPlnt '!K60</f>
        <v>31892.117207267813</v>
      </c>
    </row>
    <row r="16" spans="1:12">
      <c r="A16" s="42">
        <f t="shared" si="0"/>
        <v>8</v>
      </c>
      <c r="B16">
        <v>352</v>
      </c>
      <c r="C16" t="s">
        <v>36</v>
      </c>
      <c r="D16" t="s">
        <v>96</v>
      </c>
      <c r="F16" s="114">
        <v>286.42</v>
      </c>
      <c r="G16" s="110" t="s">
        <v>388</v>
      </c>
      <c r="H16" s="78">
        <f>+F16-I16</f>
        <v>286.42</v>
      </c>
      <c r="I16" s="5">
        <f>+'TransPlnt '!K85</f>
        <v>0</v>
      </c>
      <c r="J16" s="5">
        <f>+'TransPlnt '!K12</f>
        <v>0</v>
      </c>
      <c r="K16" s="5">
        <f>+'TransPlnt '!K49</f>
        <v>0</v>
      </c>
      <c r="L16" s="5">
        <f>+'TransPlnt '!K61</f>
        <v>0</v>
      </c>
    </row>
    <row r="17" spans="1:12">
      <c r="A17" s="42">
        <f t="shared" si="0"/>
        <v>9</v>
      </c>
      <c r="B17">
        <v>353</v>
      </c>
      <c r="C17" t="s">
        <v>37</v>
      </c>
      <c r="D17" t="s">
        <v>445</v>
      </c>
      <c r="F17" s="114">
        <f>39094392-F18</f>
        <v>34369671.149999999</v>
      </c>
      <c r="G17" s="110" t="s">
        <v>387</v>
      </c>
      <c r="H17" s="78">
        <f t="shared" ref="H17" si="2">+F17-I17</f>
        <v>32094862.101706371</v>
      </c>
      <c r="I17" s="5">
        <f>+'TransPlnt '!K86</f>
        <v>2274809.0482936292</v>
      </c>
      <c r="J17" s="5">
        <f>+'TransPlnt '!K13</f>
        <v>116653.34879521944</v>
      </c>
      <c r="K17" s="5">
        <f>+'TransPlnt '!K50</f>
        <v>220734.18613378791</v>
      </c>
      <c r="L17" s="5">
        <f>+'TransPlnt '!K62</f>
        <v>1937421.5133646219</v>
      </c>
    </row>
    <row r="18" spans="1:12">
      <c r="A18" s="42">
        <f t="shared" si="0"/>
        <v>10</v>
      </c>
      <c r="B18">
        <v>353</v>
      </c>
      <c r="C18" t="s">
        <v>44</v>
      </c>
      <c r="F18" s="129">
        <f>+'TransPlnt '!E87</f>
        <v>4724720.8499999996</v>
      </c>
      <c r="G18" s="71">
        <v>101</v>
      </c>
      <c r="H18" s="5">
        <f>VLOOKUP($G18,AF!$B$25:$I$31,4)*$F18</f>
        <v>4362547.1263066195</v>
      </c>
      <c r="I18" s="5">
        <f>VLOOKUP($G18,AF!$B$25:$I$31,5)*$F18</f>
        <v>362173.72369337972</v>
      </c>
      <c r="J18" s="5">
        <f>VLOOKUP($G18,AF!$B$25:$I$31,6)*$F18</f>
        <v>32924.883972125434</v>
      </c>
      <c r="K18" s="5">
        <f>VLOOKUP($G18,AF!$B$25:$I$31,7)*$F18</f>
        <v>16462.441986062717</v>
      </c>
      <c r="L18" s="5">
        <f>VLOOKUP($G18,AF!$B$25:$I$31,8)*$F18</f>
        <v>312786.39773519163</v>
      </c>
    </row>
    <row r="19" spans="1:12">
      <c r="A19" s="42">
        <f t="shared" si="0"/>
        <v>11</v>
      </c>
      <c r="B19">
        <v>355</v>
      </c>
      <c r="C19" t="s">
        <v>38</v>
      </c>
      <c r="D19" t="s">
        <v>97</v>
      </c>
      <c r="F19" s="114">
        <v>8295619</v>
      </c>
      <c r="G19" s="110" t="s">
        <v>389</v>
      </c>
      <c r="H19" s="78">
        <f t="shared" ref="H19:H21" si="3">+F19-I19</f>
        <v>1982161.9199999999</v>
      </c>
      <c r="I19" s="5">
        <f>+'TransPlnt '!K88</f>
        <v>6313457.0800000001</v>
      </c>
      <c r="J19" s="5">
        <f>+'TransPlnt '!K15</f>
        <v>1576705</v>
      </c>
      <c r="K19" s="5">
        <f>+'TransPlnt '!K52</f>
        <v>3062648.71</v>
      </c>
      <c r="L19" s="5">
        <f>+'TransPlnt '!K64</f>
        <v>1674103.37</v>
      </c>
    </row>
    <row r="20" spans="1:12">
      <c r="A20" s="42">
        <f t="shared" si="0"/>
        <v>12</v>
      </c>
      <c r="B20">
        <v>356</v>
      </c>
      <c r="C20" t="s">
        <v>451</v>
      </c>
      <c r="D20" t="s">
        <v>98</v>
      </c>
      <c r="F20" s="114">
        <v>4506648.84</v>
      </c>
      <c r="G20" s="110" t="s">
        <v>390</v>
      </c>
      <c r="H20" s="78">
        <f t="shared" si="3"/>
        <v>1498736.85</v>
      </c>
      <c r="I20" s="5">
        <f>+'TransPlnt '!K89</f>
        <v>3007911.9899999998</v>
      </c>
      <c r="J20" s="5">
        <f>+'TransPlnt '!K16</f>
        <v>1670833.8399999999</v>
      </c>
      <c r="K20" s="5">
        <f>+'TransPlnt '!K53</f>
        <v>0</v>
      </c>
      <c r="L20" s="5">
        <f>+'TransPlnt '!K65</f>
        <v>1337078.1499999999</v>
      </c>
    </row>
    <row r="21" spans="1:12">
      <c r="A21" s="42">
        <f t="shared" si="0"/>
        <v>13</v>
      </c>
      <c r="B21">
        <v>359</v>
      </c>
      <c r="C21" t="s">
        <v>39</v>
      </c>
      <c r="D21" t="s">
        <v>99</v>
      </c>
      <c r="F21" s="115">
        <v>3260.36</v>
      </c>
      <c r="G21" s="110" t="s">
        <v>391</v>
      </c>
      <c r="H21" s="79">
        <f t="shared" si="3"/>
        <v>3260.36</v>
      </c>
      <c r="I21" s="16">
        <f>+'TransPlnt '!K90</f>
        <v>0</v>
      </c>
      <c r="J21" s="16">
        <f>+'TransPlnt '!K17</f>
        <v>0</v>
      </c>
      <c r="K21" s="16">
        <f>+'TransPlnt '!K54</f>
        <v>0</v>
      </c>
      <c r="L21" s="16">
        <f>+'TransPlnt '!K66</f>
        <v>0</v>
      </c>
    </row>
    <row r="22" spans="1:12">
      <c r="A22" s="42">
        <f t="shared" si="0"/>
        <v>14</v>
      </c>
      <c r="C22" t="s">
        <v>2</v>
      </c>
      <c r="F22" s="10">
        <f>SUM(F15:F21)</f>
        <v>52264015.620000005</v>
      </c>
      <c r="G22" s="71"/>
      <c r="H22" s="10">
        <f>SUM(H15:H21)</f>
        <v>40240171.863558508</v>
      </c>
      <c r="I22" s="10">
        <f>SUM(I15:I21)</f>
        <v>12023843.756441491</v>
      </c>
      <c r="J22" s="5">
        <f>SUM(J15:J21)</f>
        <v>3430716.8700145595</v>
      </c>
      <c r="K22" s="5">
        <f>SUM(K15:K21)</f>
        <v>3299845.3381198505</v>
      </c>
      <c r="L22" s="5">
        <f>SUM(L15:L21)</f>
        <v>5293281.5483070817</v>
      </c>
    </row>
    <row r="23" spans="1:12">
      <c r="A23" s="42">
        <f t="shared" si="0"/>
        <v>15</v>
      </c>
      <c r="G23" s="71"/>
    </row>
    <row r="24" spans="1:12">
      <c r="A24" s="51">
        <f t="shared" si="0"/>
        <v>16</v>
      </c>
      <c r="B24" s="11" t="s">
        <v>100</v>
      </c>
      <c r="C24" s="11"/>
      <c r="G24" s="71"/>
    </row>
    <row r="25" spans="1:12">
      <c r="A25" s="42">
        <f t="shared" si="0"/>
        <v>17</v>
      </c>
      <c r="B25">
        <v>390</v>
      </c>
      <c r="C25" t="s">
        <v>36</v>
      </c>
      <c r="D25" t="s">
        <v>106</v>
      </c>
      <c r="F25" s="114">
        <v>201503</v>
      </c>
      <c r="G25" s="71">
        <v>102</v>
      </c>
      <c r="H25" s="5">
        <f>VLOOKUP($G25,AF!$B$25:$I$31,4)*$F25</f>
        <v>197750.67558690973</v>
      </c>
      <c r="I25" s="5">
        <f>VLOOKUP($G25,AF!$B$25:$I$31,5)*$F25</f>
        <v>3752.3244130902704</v>
      </c>
      <c r="J25" s="5">
        <f>VLOOKUP($G25,AF!$B$25:$I$31,6)*$F25</f>
        <v>241.46166548781565</v>
      </c>
      <c r="K25" s="5">
        <f>VLOOKUP($G25,AF!$B$25:$I$31,7)*$F25</f>
        <v>4.4290122488348871</v>
      </c>
      <c r="L25" s="5">
        <f>VLOOKUP($G25,AF!$B$25:$I$31,8)*$F25</f>
        <v>3506.4337353536193</v>
      </c>
    </row>
    <row r="26" spans="1:12">
      <c r="A26" s="42">
        <f t="shared" si="0"/>
        <v>18</v>
      </c>
      <c r="B26">
        <v>391</v>
      </c>
      <c r="C26" t="s">
        <v>101</v>
      </c>
      <c r="D26" t="s">
        <v>107</v>
      </c>
      <c r="F26" s="114">
        <v>903692</v>
      </c>
      <c r="G26" s="71">
        <v>102</v>
      </c>
      <c r="H26" s="5">
        <f>VLOOKUP($G26,AF!$B$25:$I$31,4)*$F26</f>
        <v>886863.7366316414</v>
      </c>
      <c r="I26" s="5">
        <f>VLOOKUP($G26,AF!$B$25:$I$31,5)*$F26</f>
        <v>16828.26336835865</v>
      </c>
      <c r="J26" s="5">
        <f>VLOOKUP($G26,AF!$B$25:$I$31,6)*$F26</f>
        <v>1082.8969067855819</v>
      </c>
      <c r="K26" s="5">
        <f>VLOOKUP($G26,AF!$B$25:$I$31,7)*$F26</f>
        <v>19.863043910880219</v>
      </c>
      <c r="L26" s="5">
        <f>VLOOKUP($G26,AF!$B$25:$I$31,8)*$F26</f>
        <v>15725.503417662185</v>
      </c>
    </row>
    <row r="27" spans="1:12">
      <c r="A27" s="42">
        <f t="shared" si="0"/>
        <v>19</v>
      </c>
      <c r="B27">
        <v>392</v>
      </c>
      <c r="C27" t="s">
        <v>102</v>
      </c>
      <c r="D27" t="s">
        <v>108</v>
      </c>
      <c r="F27" s="114">
        <v>134805</v>
      </c>
      <c r="G27" s="71">
        <v>102</v>
      </c>
      <c r="H27" s="5">
        <f>VLOOKUP($G27,AF!$B$25:$I$31,4)*$F27</f>
        <v>132294.70440883446</v>
      </c>
      <c r="I27" s="5">
        <f>VLOOKUP($G27,AF!$B$25:$I$31,5)*$F27</f>
        <v>2510.2955911655604</v>
      </c>
      <c r="J27" s="5">
        <f>VLOOKUP($G27,AF!$B$25:$I$31,6)*$F27</f>
        <v>161.53724667168723</v>
      </c>
      <c r="K27" s="5">
        <f>VLOOKUP($G27,AF!$B$25:$I$31,7)*$F27</f>
        <v>2.9629980506701483</v>
      </c>
      <c r="L27" s="5">
        <f>VLOOKUP($G27,AF!$B$25:$I$31,8)*$F27</f>
        <v>2345.7953464432026</v>
      </c>
    </row>
    <row r="28" spans="1:12">
      <c r="A28" s="42">
        <f t="shared" si="0"/>
        <v>20</v>
      </c>
      <c r="B28">
        <v>397</v>
      </c>
      <c r="C28" t="s">
        <v>103</v>
      </c>
      <c r="D28" t="s">
        <v>109</v>
      </c>
      <c r="F28" s="114">
        <v>5935</v>
      </c>
      <c r="G28" s="71">
        <v>102</v>
      </c>
      <c r="H28" s="5">
        <f>VLOOKUP($G28,AF!$B$25:$I$31,4)*$F28</f>
        <v>5824.4803283738174</v>
      </c>
      <c r="I28" s="5">
        <f>VLOOKUP($G28,AF!$B$25:$I$31,5)*$F28</f>
        <v>110.51967162618301</v>
      </c>
      <c r="J28" s="5">
        <f>VLOOKUP($G28,AF!$B$25:$I$31,6)*$F28</f>
        <v>7.1119287785799017</v>
      </c>
      <c r="K28" s="5">
        <f>VLOOKUP($G28,AF!$B$25:$I$31,7)*$F28</f>
        <v>0.13045060220857779</v>
      </c>
      <c r="L28" s="5">
        <f>VLOOKUP($G28,AF!$B$25:$I$31,8)*$F28</f>
        <v>103.27729224539452</v>
      </c>
    </row>
    <row r="29" spans="1:12">
      <c r="A29" s="42">
        <f t="shared" si="0"/>
        <v>21</v>
      </c>
      <c r="B29">
        <v>398</v>
      </c>
      <c r="C29" t="s">
        <v>104</v>
      </c>
      <c r="D29" t="s">
        <v>110</v>
      </c>
      <c r="F29" s="114">
        <v>62455</v>
      </c>
      <c r="G29" s="71">
        <v>102</v>
      </c>
      <c r="H29" s="5">
        <f>VLOOKUP($G29,AF!$B$25:$I$31,4)*$F29</f>
        <v>61291.98296690594</v>
      </c>
      <c r="I29" s="5">
        <f>VLOOKUP($G29,AF!$B$25:$I$31,5)*$F29</f>
        <v>1163.0170330940623</v>
      </c>
      <c r="J29" s="5">
        <f>VLOOKUP($G29,AF!$B$25:$I$31,6)*$F29</f>
        <v>74.840018848560703</v>
      </c>
      <c r="K29" s="5">
        <f>VLOOKUP($G29,AF!$B$25:$I$31,7)*$F29</f>
        <v>1.3727535570238798</v>
      </c>
      <c r="L29" s="5">
        <f>VLOOKUP($G29,AF!$B$25:$I$31,8)*$F29</f>
        <v>1086.8042606884776</v>
      </c>
    </row>
    <row r="30" spans="1:12">
      <c r="A30" s="42">
        <f t="shared" si="0"/>
        <v>22</v>
      </c>
      <c r="B30">
        <v>399</v>
      </c>
      <c r="C30" t="s">
        <v>105</v>
      </c>
      <c r="D30" t="s">
        <v>111</v>
      </c>
      <c r="F30" s="115">
        <v>705337</v>
      </c>
      <c r="G30" s="71">
        <v>102</v>
      </c>
      <c r="H30" s="5">
        <f>VLOOKUP($G30,AF!$B$25:$I$31,4)*$F30</f>
        <v>692202.43999565346</v>
      </c>
      <c r="I30" s="5">
        <f>VLOOKUP($G30,AF!$B$25:$I$31,5)*$F30</f>
        <v>13134.560004346597</v>
      </c>
      <c r="J30" s="5">
        <f>VLOOKUP($G30,AF!$B$25:$I$31,6)*$F30</f>
        <v>845.20749939295911</v>
      </c>
      <c r="K30" s="5">
        <f>VLOOKUP($G30,AF!$B$25:$I$31,7)*$F30</f>
        <v>15.503224331927825</v>
      </c>
      <c r="L30" s="5">
        <f>VLOOKUP($G30,AF!$B$25:$I$31,8)*$F30</f>
        <v>12273.849280621707</v>
      </c>
    </row>
    <row r="31" spans="1:12">
      <c r="A31" s="42">
        <f t="shared" si="0"/>
        <v>23</v>
      </c>
      <c r="C31" t="s">
        <v>2</v>
      </c>
      <c r="F31" s="10">
        <f>SUM(F25:F30)</f>
        <v>2013727</v>
      </c>
      <c r="G31" s="71"/>
      <c r="H31" s="10">
        <f t="shared" ref="H31:L31" si="4">SUM(H25:H30)</f>
        <v>1976228.0199183188</v>
      </c>
      <c r="I31" s="10">
        <f t="shared" si="4"/>
        <v>37498.980081681322</v>
      </c>
      <c r="J31" s="10">
        <f t="shared" si="4"/>
        <v>2413.0552659651844</v>
      </c>
      <c r="K31" s="10">
        <f t="shared" si="4"/>
        <v>44.261482701545532</v>
      </c>
      <c r="L31" s="10">
        <f t="shared" si="4"/>
        <v>35041.663333014585</v>
      </c>
    </row>
    <row r="32" spans="1:12" ht="15.75" thickBot="1">
      <c r="A32" s="42">
        <f t="shared" si="0"/>
        <v>24</v>
      </c>
      <c r="F32" s="33"/>
      <c r="G32" s="71"/>
      <c r="H32" s="33"/>
      <c r="I32" s="33"/>
      <c r="J32" s="33"/>
      <c r="K32" s="33"/>
      <c r="L32" s="33"/>
    </row>
    <row r="33" spans="1:12" ht="15.75" thickTop="1">
      <c r="A33" s="42">
        <f t="shared" si="0"/>
        <v>25</v>
      </c>
      <c r="C33" t="s">
        <v>112</v>
      </c>
      <c r="F33" s="5">
        <f>+F12+F22+F31</f>
        <v>56518522.620000005</v>
      </c>
      <c r="G33" s="71"/>
      <c r="H33" s="5">
        <f t="shared" ref="H33:L33" si="5">+H12+H22+H31</f>
        <v>44457179.883476824</v>
      </c>
      <c r="I33" s="5">
        <f t="shared" si="5"/>
        <v>12061342.736523172</v>
      </c>
      <c r="J33" s="5">
        <f t="shared" si="5"/>
        <v>3433129.9252805249</v>
      </c>
      <c r="K33" s="5">
        <f t="shared" si="5"/>
        <v>3299889.5996025521</v>
      </c>
      <c r="L33" s="5">
        <f t="shared" si="5"/>
        <v>5328323.2116400963</v>
      </c>
    </row>
    <row r="35" spans="1:12">
      <c r="B35" s="12"/>
      <c r="C35" s="12"/>
      <c r="D35" s="12"/>
    </row>
    <row r="36" spans="1:12">
      <c r="B36" s="12"/>
      <c r="C36" s="12"/>
      <c r="D36" s="12"/>
    </row>
    <row r="37" spans="1:12">
      <c r="B37" s="12"/>
      <c r="C37" s="12"/>
      <c r="D37" s="12"/>
    </row>
    <row r="38" spans="1:12">
      <c r="B38" s="12"/>
      <c r="C38" s="12"/>
      <c r="D38" s="12"/>
    </row>
    <row r="39" spans="1:12">
      <c r="B39" s="12"/>
      <c r="C39" s="12"/>
      <c r="D39" s="12"/>
    </row>
    <row r="40" spans="1:12">
      <c r="B40" s="12"/>
      <c r="C40" s="12"/>
      <c r="D40" s="12"/>
    </row>
    <row r="41" spans="1:12">
      <c r="B41" s="12"/>
      <c r="C41" s="12"/>
      <c r="D41" s="12"/>
    </row>
  </sheetData>
  <mergeCells count="4">
    <mergeCell ref="I6:L6"/>
    <mergeCell ref="I5:L5"/>
    <mergeCell ref="B1:L1"/>
    <mergeCell ref="A2:L2"/>
  </mergeCells>
  <pageMargins left="0.7" right="0.7" top="0.75" bottom="0.75" header="0.3" footer="0.3"/>
  <pageSetup scale="78" orientation="landscape" r:id="rId1"/>
  <headerFooter>
    <oddHeader xml:space="preserve">&amp;RSchedule B1.0
</oddHeader>
    <oddFooter>&amp;L7&amp;R&amp;D</oddFooter>
  </headerFooter>
</worksheet>
</file>

<file path=xl/worksheets/sheet4.xml><?xml version="1.0" encoding="utf-8"?>
<worksheet xmlns="http://schemas.openxmlformats.org/spreadsheetml/2006/main" xmlns:r="http://schemas.openxmlformats.org/officeDocument/2006/relationships">
  <sheetPr>
    <tabColor rgb="FFFFC000"/>
  </sheetPr>
  <dimension ref="A1:L93"/>
  <sheetViews>
    <sheetView view="pageLayout" topLeftCell="A55" workbookViewId="0">
      <selection activeCell="A58" sqref="A58"/>
    </sheetView>
  </sheetViews>
  <sheetFormatPr defaultRowHeight="15"/>
  <cols>
    <col min="1" max="1" width="3.85546875" customWidth="1"/>
    <col min="2" max="2" width="6.85546875" customWidth="1"/>
    <col min="3" max="3" width="27.85546875" customWidth="1"/>
    <col min="4" max="4" width="5.7109375" customWidth="1"/>
    <col min="5" max="6" width="18.28515625" customWidth="1"/>
    <col min="7" max="7" width="13" customWidth="1"/>
    <col min="8" max="8" width="13.28515625" customWidth="1"/>
    <col min="9" max="9" width="2.42578125" customWidth="1"/>
    <col min="10" max="10" width="11.28515625" customWidth="1"/>
    <col min="11" max="12" width="13.28515625" bestFit="1" customWidth="1"/>
  </cols>
  <sheetData>
    <row r="1" spans="1:12">
      <c r="B1" s="152" t="s">
        <v>34</v>
      </c>
      <c r="C1" s="152"/>
      <c r="D1" s="152"/>
      <c r="E1" s="152"/>
      <c r="F1" s="152"/>
      <c r="G1" s="152"/>
      <c r="H1" s="152"/>
      <c r="I1" s="152"/>
      <c r="J1" s="152"/>
      <c r="K1" s="152"/>
      <c r="L1" s="152"/>
    </row>
    <row r="2" spans="1:12">
      <c r="B2" s="152" t="s">
        <v>174</v>
      </c>
      <c r="C2" s="152"/>
      <c r="D2" s="152"/>
      <c r="E2" s="152"/>
      <c r="F2" s="152"/>
      <c r="G2" s="152"/>
      <c r="H2" s="152"/>
      <c r="I2" s="152"/>
      <c r="J2" s="152"/>
      <c r="K2" s="152"/>
      <c r="L2" s="152"/>
    </row>
    <row r="3" spans="1:12" ht="15" customHeight="1">
      <c r="B3" s="133"/>
      <c r="C3" s="133"/>
      <c r="D3" s="133"/>
      <c r="E3" s="133"/>
      <c r="F3" s="133"/>
      <c r="G3" s="133"/>
      <c r="H3" s="133"/>
      <c r="I3" s="133"/>
      <c r="J3" s="133"/>
      <c r="K3" s="133"/>
      <c r="L3" s="133"/>
    </row>
    <row r="4" spans="1:12">
      <c r="B4" s="135" t="s">
        <v>449</v>
      </c>
      <c r="C4" s="133"/>
      <c r="D4" s="133"/>
      <c r="E4" s="133"/>
      <c r="F4" s="133"/>
      <c r="G4" s="133"/>
      <c r="H4" s="133"/>
      <c r="I4" s="133"/>
      <c r="J4" s="133"/>
      <c r="K4" s="133"/>
      <c r="L4" s="133"/>
    </row>
    <row r="5" spans="1:12" ht="15" customHeight="1"/>
    <row r="6" spans="1:12">
      <c r="E6" s="68" t="s">
        <v>232</v>
      </c>
      <c r="F6" s="68" t="s">
        <v>233</v>
      </c>
      <c r="G6" s="68" t="s">
        <v>234</v>
      </c>
      <c r="H6" s="68" t="s">
        <v>235</v>
      </c>
      <c r="I6" s="68"/>
      <c r="J6" s="81" t="s">
        <v>236</v>
      </c>
      <c r="K6" s="81" t="s">
        <v>237</v>
      </c>
      <c r="L6" s="81" t="s">
        <v>238</v>
      </c>
    </row>
    <row r="7" spans="1:12">
      <c r="J7" s="51"/>
      <c r="K7" s="51" t="s">
        <v>33</v>
      </c>
      <c r="L7" s="51" t="s">
        <v>33</v>
      </c>
    </row>
    <row r="8" spans="1:12">
      <c r="E8" s="7" t="s">
        <v>2</v>
      </c>
      <c r="F8" s="47" t="s">
        <v>190</v>
      </c>
      <c r="G8" s="7" t="s">
        <v>33</v>
      </c>
      <c r="H8" s="7" t="s">
        <v>41</v>
      </c>
      <c r="I8" s="32"/>
      <c r="J8" s="68" t="s">
        <v>186</v>
      </c>
      <c r="K8" s="51" t="s">
        <v>40</v>
      </c>
      <c r="L8" s="51" t="s">
        <v>42</v>
      </c>
    </row>
    <row r="9" spans="1:12">
      <c r="E9" s="18" t="s">
        <v>118</v>
      </c>
      <c r="F9" s="48" t="s">
        <v>118</v>
      </c>
      <c r="G9" s="18" t="s">
        <v>118</v>
      </c>
      <c r="H9" s="18" t="s">
        <v>118</v>
      </c>
      <c r="I9" s="18"/>
      <c r="J9" s="70" t="s">
        <v>24</v>
      </c>
      <c r="K9" s="52" t="s">
        <v>24</v>
      </c>
      <c r="L9" s="52" t="s">
        <v>24</v>
      </c>
    </row>
    <row r="10" spans="1:12">
      <c r="A10" s="42">
        <v>1</v>
      </c>
      <c r="C10" s="6" t="s">
        <v>169</v>
      </c>
    </row>
    <row r="11" spans="1:12">
      <c r="A11" s="42">
        <f>+A10+1</f>
        <v>2</v>
      </c>
      <c r="B11">
        <v>350</v>
      </c>
      <c r="C11" t="s">
        <v>35</v>
      </c>
      <c r="E11" s="117">
        <f t="shared" ref="E11:E16" si="0">+G11+H11</f>
        <v>55264.25</v>
      </c>
      <c r="F11" s="10"/>
      <c r="G11" s="119">
        <v>45304</v>
      </c>
      <c r="H11" s="119">
        <v>9960.25</v>
      </c>
      <c r="I11" s="9"/>
      <c r="J11" s="5">
        <v>14</v>
      </c>
      <c r="K11" s="5">
        <f>VLOOKUP($J11,AF!$B$15:$F$21,4)*$G11</f>
        <v>33599.79724721481</v>
      </c>
      <c r="L11" s="5">
        <f>VLOOKUP($J11,AF!$B$15:$F$21,5)*$G11</f>
        <v>11704.202752785182</v>
      </c>
    </row>
    <row r="12" spans="1:12">
      <c r="A12" s="54">
        <f t="shared" ref="A12:A76" si="1">+A11+1</f>
        <v>3</v>
      </c>
      <c r="B12">
        <v>352</v>
      </c>
      <c r="C12" t="s">
        <v>36</v>
      </c>
      <c r="E12" s="117">
        <f t="shared" si="0"/>
        <v>0</v>
      </c>
      <c r="F12" s="10"/>
      <c r="G12" s="119"/>
      <c r="H12" s="119">
        <f>+T12</f>
        <v>0</v>
      </c>
      <c r="I12" s="9"/>
      <c r="J12" s="5"/>
      <c r="K12" s="5"/>
      <c r="L12" s="5"/>
    </row>
    <row r="13" spans="1:12">
      <c r="A13" s="54">
        <f t="shared" si="1"/>
        <v>4</v>
      </c>
      <c r="B13">
        <v>353</v>
      </c>
      <c r="C13" t="s">
        <v>37</v>
      </c>
      <c r="E13" s="117">
        <f t="shared" si="0"/>
        <v>3476595</v>
      </c>
      <c r="F13" s="10"/>
      <c r="G13" s="119">
        <v>1288541</v>
      </c>
      <c r="H13" s="119">
        <v>2188054</v>
      </c>
      <c r="I13" s="9"/>
      <c r="J13" s="5">
        <v>11</v>
      </c>
      <c r="K13" s="5">
        <f>VLOOKUP($J13,AF!$B$15:$F$21,4)*$G13</f>
        <v>116653.34879521944</v>
      </c>
      <c r="L13" s="5">
        <f>VLOOKUP($J13,AF!$B$15:$F$21,5)*$G13</f>
        <v>1171887.6512047804</v>
      </c>
    </row>
    <row r="14" spans="1:12">
      <c r="A14" s="54">
        <f t="shared" si="1"/>
        <v>5</v>
      </c>
      <c r="B14">
        <v>353</v>
      </c>
      <c r="C14" t="s">
        <v>44</v>
      </c>
      <c r="E14" s="117">
        <f t="shared" si="0"/>
        <v>0</v>
      </c>
      <c r="F14" s="10"/>
      <c r="G14" s="120"/>
      <c r="H14" s="120"/>
      <c r="I14" s="9"/>
      <c r="J14" s="5"/>
      <c r="K14" s="5"/>
      <c r="L14" s="5"/>
    </row>
    <row r="15" spans="1:12">
      <c r="A15" s="54">
        <f t="shared" si="1"/>
        <v>6</v>
      </c>
      <c r="B15">
        <v>355</v>
      </c>
      <c r="C15" t="s">
        <v>38</v>
      </c>
      <c r="E15" s="117">
        <f t="shared" si="0"/>
        <v>2053087.12</v>
      </c>
      <c r="F15" s="10"/>
      <c r="G15" s="119">
        <v>1576705</v>
      </c>
      <c r="H15" s="119">
        <v>476382.12</v>
      </c>
      <c r="I15" s="9"/>
      <c r="J15" s="5">
        <v>10</v>
      </c>
      <c r="K15" s="5">
        <f>VLOOKUP($J15,AF!$B$15:$F$21,4)*$G15</f>
        <v>1576705</v>
      </c>
      <c r="L15" s="5">
        <f>VLOOKUP($J15,AF!$B$15:$F$21,5)*$G15</f>
        <v>0</v>
      </c>
    </row>
    <row r="16" spans="1:12">
      <c r="A16" s="54">
        <f t="shared" si="1"/>
        <v>7</v>
      </c>
      <c r="B16">
        <v>356</v>
      </c>
      <c r="C16" t="s">
        <v>94</v>
      </c>
      <c r="E16" s="117">
        <f t="shared" si="0"/>
        <v>2295539.6999999997</v>
      </c>
      <c r="F16" s="10"/>
      <c r="G16" s="119">
        <v>1670833.8399999999</v>
      </c>
      <c r="H16" s="119">
        <v>624705.86</v>
      </c>
      <c r="I16" s="9"/>
      <c r="J16" s="5">
        <v>10</v>
      </c>
      <c r="K16" s="5">
        <f>VLOOKUP($J16,AF!$B$15:$F$21,4)*$G16</f>
        <v>1670833.8399999999</v>
      </c>
      <c r="L16" s="5">
        <f>VLOOKUP($J16,AF!$B$15:$F$21,5)*$G16</f>
        <v>0</v>
      </c>
    </row>
    <row r="17" spans="1:12">
      <c r="A17" s="54">
        <f t="shared" si="1"/>
        <v>8</v>
      </c>
      <c r="B17">
        <v>359</v>
      </c>
      <c r="C17" t="s">
        <v>39</v>
      </c>
      <c r="E17" s="118">
        <f t="shared" ref="E17" si="2">+G17+H17</f>
        <v>0</v>
      </c>
      <c r="F17" s="38"/>
      <c r="G17" s="121"/>
      <c r="H17" s="115">
        <f>+T16</f>
        <v>0</v>
      </c>
      <c r="I17" s="5"/>
      <c r="J17" s="140"/>
      <c r="K17" s="16"/>
      <c r="L17" s="16"/>
    </row>
    <row r="18" spans="1:12">
      <c r="A18" s="54">
        <f t="shared" si="1"/>
        <v>9</v>
      </c>
      <c r="C18" t="s">
        <v>2</v>
      </c>
      <c r="E18" s="10">
        <f>SUM(E11:E17)</f>
        <v>7880486.0700000003</v>
      </c>
      <c r="F18" s="10"/>
      <c r="G18" s="10">
        <f>SUM(G11:G17)</f>
        <v>4581383.84</v>
      </c>
      <c r="H18" s="10">
        <f>SUM(H11:H17)</f>
        <v>3299102.23</v>
      </c>
      <c r="I18" s="10"/>
      <c r="J18" s="26"/>
      <c r="K18" s="5">
        <f>SUM(K11:K17)</f>
        <v>3397791.9860424343</v>
      </c>
      <c r="L18" s="5">
        <f>SUM(L11:L17)</f>
        <v>1183591.8539575657</v>
      </c>
    </row>
    <row r="19" spans="1:12">
      <c r="A19" s="54">
        <f t="shared" si="1"/>
        <v>10</v>
      </c>
      <c r="C19" t="s">
        <v>215</v>
      </c>
      <c r="E19" s="10"/>
      <c r="F19" s="15">
        <f>+F13/$E13</f>
        <v>0</v>
      </c>
      <c r="G19" s="15">
        <f>+G13/$E13</f>
        <v>0.37063304756521825</v>
      </c>
      <c r="H19" s="15">
        <f>+H13/$E13</f>
        <v>0.62936695243478169</v>
      </c>
      <c r="I19" s="10"/>
      <c r="J19" s="26"/>
      <c r="K19" s="15">
        <f>+K13/($G13)</f>
        <v>9.0531344206524617E-2</v>
      </c>
      <c r="L19" s="15">
        <f>+L13/($G13)</f>
        <v>0.90946865579347524</v>
      </c>
    </row>
    <row r="20" spans="1:12">
      <c r="A20" s="110" t="s">
        <v>421</v>
      </c>
      <c r="C20" t="s">
        <v>213</v>
      </c>
      <c r="E20" s="10"/>
      <c r="F20" s="15">
        <f>(F15+F16)/($E15+$E16)</f>
        <v>0</v>
      </c>
      <c r="G20" s="15">
        <f>(G15+G16)/($E15+$E16)</f>
        <v>0.74679639675312481</v>
      </c>
      <c r="H20" s="15">
        <f>(H15+H16)/($E15+$E16)</f>
        <v>0.25320360324687502</v>
      </c>
      <c r="I20" s="10"/>
      <c r="J20" s="34"/>
      <c r="K20" s="15">
        <f>SUM(K15:K16)/SUM($G15:$G16)</f>
        <v>1</v>
      </c>
      <c r="L20" s="15">
        <f>SUM(L15:L16)/SUM($G15:$G16)</f>
        <v>0</v>
      </c>
    </row>
    <row r="21" spans="1:12">
      <c r="A21" s="54">
        <v>11</v>
      </c>
      <c r="C21" t="s">
        <v>214</v>
      </c>
      <c r="E21" s="10"/>
      <c r="F21" s="15">
        <f>(F18-F11)/($E18-$E11)</f>
        <v>0</v>
      </c>
      <c r="G21" s="15">
        <f>(G18-G11)/($E18-$E11)</f>
        <v>0.57967428200009796</v>
      </c>
      <c r="H21" s="15">
        <f>(H18-H11)/($E18-$E11)</f>
        <v>0.42032571799990198</v>
      </c>
      <c r="I21" s="10"/>
      <c r="J21" s="34"/>
      <c r="K21" s="15">
        <f>SUM(K12:K17)/SUM(G12:G17)</f>
        <v>0.74165189050006208</v>
      </c>
      <c r="L21" s="15">
        <f>SUM(L12:L17)/SUM(G12:G17)</f>
        <v>0.25834810949993781</v>
      </c>
    </row>
    <row r="22" spans="1:12">
      <c r="A22" s="54">
        <f t="shared" si="1"/>
        <v>12</v>
      </c>
    </row>
    <row r="23" spans="1:12">
      <c r="A23" s="54">
        <f t="shared" si="1"/>
        <v>13</v>
      </c>
      <c r="C23" s="6" t="s">
        <v>170</v>
      </c>
    </row>
    <row r="24" spans="1:12">
      <c r="A24" s="54">
        <f t="shared" si="1"/>
        <v>14</v>
      </c>
      <c r="B24">
        <v>350</v>
      </c>
      <c r="C24" t="s">
        <v>35</v>
      </c>
      <c r="E24" s="117">
        <f>+G24+H24</f>
        <v>8957.8799999999992</v>
      </c>
      <c r="F24" s="10"/>
      <c r="H24" s="114">
        <v>8957.8799999999992</v>
      </c>
      <c r="I24" s="5"/>
    </row>
    <row r="25" spans="1:12">
      <c r="A25" s="54">
        <f t="shared" si="1"/>
        <v>15</v>
      </c>
      <c r="B25">
        <v>352</v>
      </c>
      <c r="C25" t="s">
        <v>36</v>
      </c>
      <c r="E25" s="117">
        <f t="shared" ref="E25:E30" si="3">+G25+H25</f>
        <v>286.42</v>
      </c>
      <c r="F25" s="10"/>
      <c r="H25" s="114">
        <v>286.42</v>
      </c>
      <c r="I25" s="5"/>
    </row>
    <row r="26" spans="1:12">
      <c r="A26" s="54">
        <f t="shared" si="1"/>
        <v>16</v>
      </c>
      <c r="B26">
        <v>353</v>
      </c>
      <c r="C26" t="s">
        <v>37</v>
      </c>
      <c r="E26" s="117">
        <f t="shared" si="3"/>
        <v>513703.47</v>
      </c>
      <c r="F26" s="10"/>
      <c r="H26" s="119">
        <v>513703.47</v>
      </c>
      <c r="I26" s="9"/>
    </row>
    <row r="27" spans="1:12">
      <c r="A27" s="54">
        <f t="shared" si="1"/>
        <v>17</v>
      </c>
      <c r="B27">
        <v>353</v>
      </c>
      <c r="C27" t="s">
        <v>44</v>
      </c>
      <c r="E27" s="117">
        <f t="shared" si="3"/>
        <v>0</v>
      </c>
      <c r="F27" s="10"/>
      <c r="H27" s="122"/>
    </row>
    <row r="28" spans="1:12">
      <c r="A28" s="54">
        <f t="shared" si="1"/>
        <v>18</v>
      </c>
      <c r="B28">
        <v>355</v>
      </c>
      <c r="C28" t="s">
        <v>38</v>
      </c>
      <c r="E28" s="117">
        <f t="shared" si="3"/>
        <v>346986.13</v>
      </c>
      <c r="F28" s="10"/>
      <c r="H28" s="114">
        <v>346986.13</v>
      </c>
      <c r="I28" s="5"/>
    </row>
    <row r="29" spans="1:12">
      <c r="A29" s="54">
        <f t="shared" si="1"/>
        <v>19</v>
      </c>
      <c r="B29">
        <v>356</v>
      </c>
      <c r="C29" t="s">
        <v>94</v>
      </c>
      <c r="E29" s="117">
        <f t="shared" si="3"/>
        <v>357977.15</v>
      </c>
      <c r="F29" s="10"/>
      <c r="H29" s="114">
        <v>357977.15</v>
      </c>
      <c r="I29" s="5"/>
    </row>
    <row r="30" spans="1:12">
      <c r="A30" s="54">
        <f t="shared" si="1"/>
        <v>20</v>
      </c>
      <c r="B30">
        <v>359</v>
      </c>
      <c r="C30" t="s">
        <v>39</v>
      </c>
      <c r="E30" s="118">
        <f t="shared" si="3"/>
        <v>3260.36</v>
      </c>
      <c r="F30" s="38"/>
      <c r="G30" s="11"/>
      <c r="H30" s="115">
        <v>3260.36</v>
      </c>
      <c r="I30" s="5"/>
    </row>
    <row r="31" spans="1:12">
      <c r="A31" s="54">
        <f t="shared" si="1"/>
        <v>21</v>
      </c>
      <c r="C31" t="s">
        <v>2</v>
      </c>
      <c r="E31" s="10">
        <f>SUM(E24:E30)</f>
        <v>1231171.4099999999</v>
      </c>
      <c r="F31" s="10"/>
      <c r="G31" s="10">
        <f>SUM(G24:G30)</f>
        <v>0</v>
      </c>
      <c r="H31" s="10">
        <f>SUM(H24:H30)</f>
        <v>1231171.4099999999</v>
      </c>
      <c r="I31" s="10"/>
    </row>
    <row r="32" spans="1:12">
      <c r="A32" s="54">
        <f t="shared" si="1"/>
        <v>22</v>
      </c>
      <c r="C32" t="s">
        <v>226</v>
      </c>
      <c r="E32" s="10"/>
      <c r="F32" s="15">
        <f>+F26/$E26</f>
        <v>0</v>
      </c>
      <c r="G32" s="15">
        <f>+G26/$E26</f>
        <v>0</v>
      </c>
      <c r="H32" s="15">
        <f>+H26/$E26</f>
        <v>1</v>
      </c>
      <c r="I32" s="10"/>
      <c r="J32" s="34"/>
      <c r="K32" s="15"/>
      <c r="L32" s="15"/>
    </row>
    <row r="33" spans="1:12">
      <c r="A33" s="54">
        <f t="shared" si="1"/>
        <v>23</v>
      </c>
      <c r="C33" t="s">
        <v>211</v>
      </c>
      <c r="E33" s="10"/>
      <c r="F33" s="15">
        <f>(F31-F24)/($E31-$E24)</f>
        <v>0</v>
      </c>
      <c r="G33" s="15">
        <f>(G31-G24)/($E31-$E24)</f>
        <v>0</v>
      </c>
      <c r="H33" s="15">
        <f>(H31-H24)/($E31-$E24)</f>
        <v>1</v>
      </c>
      <c r="I33" s="10"/>
      <c r="J33" s="34"/>
      <c r="K33" s="15"/>
      <c r="L33" s="15"/>
    </row>
    <row r="34" spans="1:12">
      <c r="A34" s="54">
        <f t="shared" si="1"/>
        <v>24</v>
      </c>
    </row>
    <row r="35" spans="1:12">
      <c r="A35" s="54">
        <f t="shared" si="1"/>
        <v>25</v>
      </c>
      <c r="C35" s="6" t="s">
        <v>171</v>
      </c>
    </row>
    <row r="36" spans="1:12">
      <c r="A36" s="54">
        <f t="shared" si="1"/>
        <v>26</v>
      </c>
      <c r="B36">
        <v>350</v>
      </c>
      <c r="C36" t="s">
        <v>35</v>
      </c>
      <c r="E36" s="10">
        <f>+G36+H36</f>
        <v>142261.46</v>
      </c>
      <c r="F36" s="10"/>
      <c r="H36" s="114">
        <v>142261.46</v>
      </c>
    </row>
    <row r="37" spans="1:12">
      <c r="A37" s="54">
        <f t="shared" si="1"/>
        <v>27</v>
      </c>
      <c r="B37">
        <v>352</v>
      </c>
      <c r="C37" t="s">
        <v>36</v>
      </c>
      <c r="E37" s="10">
        <f t="shared" ref="E37:E42" si="4">+G37+H37</f>
        <v>0</v>
      </c>
      <c r="F37" s="10"/>
      <c r="H37" s="114"/>
    </row>
    <row r="38" spans="1:12">
      <c r="A38" s="54">
        <f t="shared" si="1"/>
        <v>28</v>
      </c>
      <c r="B38">
        <v>353</v>
      </c>
      <c r="C38" t="s">
        <v>37</v>
      </c>
      <c r="E38" s="10">
        <f t="shared" si="4"/>
        <v>6540605.0599999996</v>
      </c>
      <c r="F38" s="10"/>
      <c r="H38" s="114">
        <v>6540605.0599999996</v>
      </c>
    </row>
    <row r="39" spans="1:12">
      <c r="A39" s="54">
        <f t="shared" si="1"/>
        <v>29</v>
      </c>
      <c r="B39">
        <v>353</v>
      </c>
      <c r="C39" t="s">
        <v>44</v>
      </c>
      <c r="E39" s="10">
        <f t="shared" si="4"/>
        <v>0</v>
      </c>
      <c r="F39" s="10"/>
      <c r="H39" s="114"/>
    </row>
    <row r="40" spans="1:12">
      <c r="A40" s="54">
        <f t="shared" si="1"/>
        <v>30</v>
      </c>
      <c r="B40">
        <v>355</v>
      </c>
      <c r="C40" t="s">
        <v>38</v>
      </c>
      <c r="E40" s="10">
        <f t="shared" si="4"/>
        <v>1158793.1100000001</v>
      </c>
      <c r="F40" s="10"/>
      <c r="H40" s="114">
        <v>1158793.1100000001</v>
      </c>
    </row>
    <row r="41" spans="1:12">
      <c r="A41" s="54">
        <f t="shared" si="1"/>
        <v>31</v>
      </c>
      <c r="B41">
        <v>356</v>
      </c>
      <c r="C41" t="s">
        <v>94</v>
      </c>
      <c r="E41" s="10">
        <f t="shared" si="4"/>
        <v>516053.84</v>
      </c>
      <c r="F41" s="10"/>
      <c r="H41" s="114">
        <v>516053.84</v>
      </c>
    </row>
    <row r="42" spans="1:12">
      <c r="A42" s="54">
        <f t="shared" si="1"/>
        <v>32</v>
      </c>
      <c r="B42">
        <v>359</v>
      </c>
      <c r="C42" t="s">
        <v>39</v>
      </c>
      <c r="E42" s="38">
        <f t="shared" si="4"/>
        <v>0</v>
      </c>
      <c r="F42" s="38"/>
      <c r="G42" s="11"/>
      <c r="H42" s="121"/>
    </row>
    <row r="43" spans="1:12">
      <c r="A43" s="54">
        <f t="shared" si="1"/>
        <v>33</v>
      </c>
      <c r="C43" t="s">
        <v>2</v>
      </c>
      <c r="E43" s="10">
        <f>SUM(E36:E42)</f>
        <v>8357713.4699999997</v>
      </c>
      <c r="F43" s="10"/>
      <c r="G43" s="10">
        <f>SUM(G36:G42)</f>
        <v>0</v>
      </c>
      <c r="H43" s="10">
        <f>SUM(H36:H42)</f>
        <v>8357713.4699999997</v>
      </c>
      <c r="I43" s="10"/>
    </row>
    <row r="44" spans="1:12">
      <c r="A44" s="54">
        <f t="shared" si="1"/>
        <v>34</v>
      </c>
      <c r="C44" t="s">
        <v>210</v>
      </c>
      <c r="E44" s="10"/>
      <c r="F44" s="15">
        <f>+F38/$E38</f>
        <v>0</v>
      </c>
      <c r="G44" s="15">
        <f>+G38/$E38</f>
        <v>0</v>
      </c>
      <c r="H44" s="15">
        <f>+H38/$E38</f>
        <v>1</v>
      </c>
      <c r="I44" s="10"/>
      <c r="J44" s="34"/>
      <c r="K44" s="15"/>
      <c r="L44" s="15"/>
    </row>
    <row r="45" spans="1:12">
      <c r="A45" s="54">
        <f t="shared" si="1"/>
        <v>35</v>
      </c>
      <c r="C45" t="s">
        <v>211</v>
      </c>
      <c r="E45" s="10"/>
      <c r="F45" s="15">
        <f>(F43-F36)/($E43-$E36)</f>
        <v>0</v>
      </c>
      <c r="G45" s="15">
        <f>(G43-G36)/($E43-$E36)</f>
        <v>0</v>
      </c>
      <c r="H45" s="15">
        <f>(H43-H36)/($E43-$E36)</f>
        <v>1</v>
      </c>
      <c r="I45" s="10"/>
      <c r="J45" s="34"/>
      <c r="K45" s="15"/>
      <c r="L45" s="15"/>
    </row>
    <row r="46" spans="1:12">
      <c r="A46" s="54">
        <f t="shared" si="1"/>
        <v>36</v>
      </c>
    </row>
    <row r="47" spans="1:12">
      <c r="A47" s="54">
        <f t="shared" si="1"/>
        <v>37</v>
      </c>
      <c r="C47" s="6" t="s">
        <v>172</v>
      </c>
    </row>
    <row r="48" spans="1:12">
      <c r="A48" s="54">
        <f t="shared" si="1"/>
        <v>38</v>
      </c>
      <c r="B48">
        <v>350</v>
      </c>
      <c r="C48" t="s">
        <v>35</v>
      </c>
      <c r="E48" s="10">
        <f>+G48+H48</f>
        <v>0</v>
      </c>
      <c r="F48" s="10"/>
      <c r="G48" s="114"/>
      <c r="J48" s="5"/>
      <c r="K48" s="5"/>
      <c r="L48" s="5"/>
    </row>
    <row r="49" spans="1:12">
      <c r="A49" s="54">
        <f t="shared" si="1"/>
        <v>39</v>
      </c>
      <c r="B49">
        <v>352</v>
      </c>
      <c r="C49" t="s">
        <v>36</v>
      </c>
      <c r="E49" s="10">
        <f t="shared" ref="E49:E54" si="5">+G49+H49</f>
        <v>0</v>
      </c>
      <c r="F49" s="10"/>
      <c r="G49" s="114"/>
      <c r="J49" s="5"/>
      <c r="K49" s="5"/>
      <c r="L49" s="5"/>
    </row>
    <row r="50" spans="1:12">
      <c r="A50" s="54">
        <f t="shared" si="1"/>
        <v>40</v>
      </c>
      <c r="B50">
        <v>353</v>
      </c>
      <c r="C50" t="s">
        <v>37</v>
      </c>
      <c r="E50" s="10">
        <f t="shared" si="5"/>
        <v>2438207.3199999998</v>
      </c>
      <c r="F50" s="10"/>
      <c r="G50" s="119">
        <f>2438207.32</f>
        <v>2438207.3199999998</v>
      </c>
      <c r="J50" s="5">
        <v>12</v>
      </c>
      <c r="K50" s="5">
        <f>VLOOKUP($J50,AF!$B$15:$F$21,4)*$G50</f>
        <v>220734.18613378791</v>
      </c>
      <c r="L50" s="5">
        <f>VLOOKUP($J50,AF!$B$15:$F$21,5)*$G50</f>
        <v>2217473.1338662119</v>
      </c>
    </row>
    <row r="51" spans="1:12">
      <c r="A51" s="54">
        <f t="shared" si="1"/>
        <v>41</v>
      </c>
      <c r="B51">
        <v>353</v>
      </c>
      <c r="C51" t="s">
        <v>44</v>
      </c>
      <c r="E51" s="10">
        <f t="shared" si="5"/>
        <v>0</v>
      </c>
      <c r="F51" s="10"/>
      <c r="G51" s="122"/>
      <c r="J51" s="5"/>
      <c r="K51" s="5"/>
      <c r="L51" s="5"/>
    </row>
    <row r="52" spans="1:12">
      <c r="A52" s="54">
        <f t="shared" si="1"/>
        <v>42</v>
      </c>
      <c r="B52">
        <v>355</v>
      </c>
      <c r="C52" t="s">
        <v>38</v>
      </c>
      <c r="E52" s="10">
        <f t="shared" si="5"/>
        <v>3062648.71</v>
      </c>
      <c r="F52" s="10"/>
      <c r="G52" s="114">
        <f>3062648.71</f>
        <v>3062648.71</v>
      </c>
      <c r="J52" s="5">
        <v>10</v>
      </c>
      <c r="K52" s="5">
        <f>VLOOKUP($J52,AF!$B$15:$F$21,4)*$G52</f>
        <v>3062648.71</v>
      </c>
      <c r="L52" s="5">
        <f>VLOOKUP($J52,AF!$B$15:$F$21,5)*$G52</f>
        <v>0</v>
      </c>
    </row>
    <row r="53" spans="1:12">
      <c r="A53" s="54">
        <f t="shared" si="1"/>
        <v>43</v>
      </c>
      <c r="B53">
        <v>356</v>
      </c>
      <c r="C53" t="s">
        <v>94</v>
      </c>
      <c r="E53" s="10">
        <f t="shared" si="5"/>
        <v>0</v>
      </c>
      <c r="F53" s="10"/>
      <c r="G53" s="114"/>
      <c r="J53" s="34"/>
      <c r="K53" s="5"/>
      <c r="L53" s="5"/>
    </row>
    <row r="54" spans="1:12">
      <c r="A54" s="54">
        <f t="shared" si="1"/>
        <v>44</v>
      </c>
      <c r="B54">
        <v>359</v>
      </c>
      <c r="C54" t="s">
        <v>39</v>
      </c>
      <c r="E54" s="38">
        <f t="shared" si="5"/>
        <v>0</v>
      </c>
      <c r="F54" s="38"/>
      <c r="G54" s="121"/>
      <c r="H54" s="11"/>
      <c r="J54" s="34"/>
      <c r="K54" s="16"/>
      <c r="L54" s="16"/>
    </row>
    <row r="55" spans="1:12">
      <c r="A55" s="54">
        <f t="shared" si="1"/>
        <v>45</v>
      </c>
      <c r="C55" t="s">
        <v>2</v>
      </c>
      <c r="E55" s="10">
        <f>SUM(E48:E54)</f>
        <v>5500856.0299999993</v>
      </c>
      <c r="F55" s="10"/>
      <c r="G55" s="10">
        <f>SUM(G48:G54)</f>
        <v>5500856.0299999993</v>
      </c>
      <c r="H55" s="10">
        <f>SUM(H48:H54)</f>
        <v>0</v>
      </c>
      <c r="I55" s="10"/>
      <c r="J55" s="34"/>
      <c r="K55" s="5">
        <f>SUM(K48:K54)</f>
        <v>3283382.8961337879</v>
      </c>
      <c r="L55" s="5">
        <f>SUM(L48:L54)</f>
        <v>2217473.1338662119</v>
      </c>
    </row>
    <row r="56" spans="1:12">
      <c r="A56" s="54">
        <f t="shared" si="1"/>
        <v>46</v>
      </c>
      <c r="C56" t="s">
        <v>210</v>
      </c>
      <c r="E56" s="10"/>
      <c r="F56" s="15">
        <f>+F50/$E50</f>
        <v>0</v>
      </c>
      <c r="G56" s="15">
        <f>+G50/$E50</f>
        <v>1</v>
      </c>
      <c r="H56" s="15">
        <f>+H50/$E50</f>
        <v>0</v>
      </c>
      <c r="I56" s="10"/>
      <c r="J56" s="34"/>
      <c r="K56" s="15">
        <f>+K50/($G50)</f>
        <v>9.0531344206524617E-2</v>
      </c>
      <c r="L56" s="15">
        <f>+L50/($G50)</f>
        <v>0.90946865579347536</v>
      </c>
    </row>
    <row r="57" spans="1:12">
      <c r="A57" s="54">
        <f t="shared" si="1"/>
        <v>47</v>
      </c>
      <c r="C57" t="s">
        <v>211</v>
      </c>
      <c r="E57" s="10"/>
      <c r="F57" s="15">
        <f>(F55-F48)/($E55-$E48)</f>
        <v>0</v>
      </c>
      <c r="G57" s="15">
        <f>(G55-G48)/($E55-$E48)</f>
        <v>1</v>
      </c>
      <c r="H57" s="15">
        <f>(H55-H48)/($E55-$E48)</f>
        <v>0</v>
      </c>
      <c r="I57" s="10"/>
      <c r="J57" s="34"/>
      <c r="K57" s="15">
        <f>SUM(K49:K54)/SUM(G49:G54)</f>
        <v>0.59688580799555813</v>
      </c>
      <c r="L57" s="15">
        <f>SUM(L49:L54)/SUM(G49:G54)</f>
        <v>0.40311419200444193</v>
      </c>
    </row>
    <row r="58" spans="1:12">
      <c r="A58" s="54">
        <f t="shared" si="1"/>
        <v>48</v>
      </c>
    </row>
    <row r="59" spans="1:12">
      <c r="A59" s="54">
        <f t="shared" si="1"/>
        <v>49</v>
      </c>
      <c r="C59" s="6" t="s">
        <v>173</v>
      </c>
    </row>
    <row r="60" spans="1:12">
      <c r="A60" s="54">
        <f t="shared" si="1"/>
        <v>50</v>
      </c>
      <c r="B60">
        <v>350</v>
      </c>
      <c r="C60" t="s">
        <v>35</v>
      </c>
      <c r="E60" s="10">
        <f>+G60+H60</f>
        <v>157325.64000000001</v>
      </c>
      <c r="F60" s="10"/>
      <c r="G60" s="114">
        <v>157325.64000000001</v>
      </c>
      <c r="J60" s="5">
        <v>16</v>
      </c>
      <c r="K60" s="5">
        <f>VLOOKUP($J60,AF!$B$15:$F$21,4)*$G60</f>
        <v>31892.117207267813</v>
      </c>
      <c r="L60" s="5">
        <f>VLOOKUP($J60,AF!$B$15:$F$21,5)*$G60</f>
        <v>125433.52279273218</v>
      </c>
    </row>
    <row r="61" spans="1:12">
      <c r="A61" s="54">
        <f t="shared" si="1"/>
        <v>51</v>
      </c>
      <c r="B61">
        <v>352</v>
      </c>
      <c r="C61" t="s">
        <v>36</v>
      </c>
      <c r="E61" s="10">
        <f t="shared" ref="E61:E66" si="6">+G61+H61</f>
        <v>0</v>
      </c>
      <c r="F61" s="10"/>
      <c r="G61" s="114"/>
      <c r="J61" s="5"/>
      <c r="K61" s="5"/>
      <c r="L61" s="5"/>
    </row>
    <row r="62" spans="1:12">
      <c r="A62" s="54">
        <f t="shared" si="1"/>
        <v>52</v>
      </c>
      <c r="B62">
        <v>353</v>
      </c>
      <c r="C62" t="s">
        <v>37</v>
      </c>
      <c r="E62" s="10">
        <f t="shared" si="6"/>
        <v>21400560.550000001</v>
      </c>
      <c r="F62" s="10"/>
      <c r="G62" s="114">
        <v>21400560.550000001</v>
      </c>
      <c r="J62" s="5">
        <v>13</v>
      </c>
      <c r="K62" s="5">
        <f>VLOOKUP($J62,AF!$B$15:$F$21,4)*$G62</f>
        <v>1937421.5133646219</v>
      </c>
      <c r="L62" s="5">
        <f>VLOOKUP($J62,AF!$B$15:$F$21,5)*$G62</f>
        <v>19463139.036635377</v>
      </c>
    </row>
    <row r="63" spans="1:12">
      <c r="A63" s="54">
        <f t="shared" si="1"/>
        <v>53</v>
      </c>
      <c r="B63">
        <v>353</v>
      </c>
      <c r="C63" t="s">
        <v>44</v>
      </c>
      <c r="E63" s="10">
        <f t="shared" si="6"/>
        <v>0</v>
      </c>
      <c r="F63" s="10"/>
      <c r="G63" s="122"/>
      <c r="J63" s="5"/>
      <c r="K63" s="5"/>
      <c r="L63" s="5"/>
    </row>
    <row r="64" spans="1:12">
      <c r="A64" s="54">
        <f t="shared" si="1"/>
        <v>54</v>
      </c>
      <c r="B64">
        <v>355</v>
      </c>
      <c r="C64" t="s">
        <v>38</v>
      </c>
      <c r="E64" s="10">
        <f t="shared" si="6"/>
        <v>1674103.37</v>
      </c>
      <c r="F64" s="10"/>
      <c r="G64" s="114">
        <v>1674103.37</v>
      </c>
      <c r="J64" s="5">
        <v>10</v>
      </c>
      <c r="K64" s="5">
        <f>VLOOKUP($J64,AF!$B$15:$F$21,4)*$G64</f>
        <v>1674103.37</v>
      </c>
      <c r="L64" s="5">
        <f>VLOOKUP($J64,AF!$B$15:$F$21,5)*$G64</f>
        <v>0</v>
      </c>
    </row>
    <row r="65" spans="1:12">
      <c r="A65" s="54">
        <f t="shared" si="1"/>
        <v>55</v>
      </c>
      <c r="B65">
        <v>356</v>
      </c>
      <c r="C65" t="s">
        <v>94</v>
      </c>
      <c r="E65" s="10">
        <f t="shared" si="6"/>
        <v>1337078.1499999999</v>
      </c>
      <c r="F65" s="10"/>
      <c r="G65" s="114">
        <v>1337078.1499999999</v>
      </c>
      <c r="J65" s="5">
        <v>10</v>
      </c>
      <c r="K65" s="5">
        <f>VLOOKUP($J65,AF!$B$15:$F$21,4)*$G65</f>
        <v>1337078.1499999999</v>
      </c>
      <c r="L65" s="5">
        <f>VLOOKUP($J65,AF!$B$15:$F$21,5)*$G65</f>
        <v>0</v>
      </c>
    </row>
    <row r="66" spans="1:12">
      <c r="A66" s="54">
        <f t="shared" si="1"/>
        <v>56</v>
      </c>
      <c r="B66">
        <v>359</v>
      </c>
      <c r="C66" t="s">
        <v>39</v>
      </c>
      <c r="E66" s="38">
        <f t="shared" si="6"/>
        <v>0</v>
      </c>
      <c r="F66" s="38"/>
      <c r="G66" s="121"/>
      <c r="H66" s="11"/>
      <c r="J66" s="34"/>
      <c r="K66" s="16"/>
      <c r="L66" s="16"/>
    </row>
    <row r="67" spans="1:12">
      <c r="A67" s="54">
        <f t="shared" si="1"/>
        <v>57</v>
      </c>
      <c r="C67" t="s">
        <v>2</v>
      </c>
      <c r="E67" s="10">
        <f>SUM(E60:E66)</f>
        <v>24569067.710000001</v>
      </c>
      <c r="F67" s="10"/>
      <c r="G67" s="10">
        <f>SUM(G60:G66)</f>
        <v>24569067.710000001</v>
      </c>
      <c r="H67" s="10">
        <f>SUM(H60:H66)</f>
        <v>0</v>
      </c>
      <c r="I67" s="10"/>
      <c r="J67" s="34"/>
      <c r="K67" s="5">
        <f>SUM(K60:K66)</f>
        <v>4980495.1505718902</v>
      </c>
      <c r="L67" s="5">
        <f>SUM(L60:L66)</f>
        <v>19588572.559428107</v>
      </c>
    </row>
    <row r="68" spans="1:12">
      <c r="A68" s="54">
        <f t="shared" si="1"/>
        <v>58</v>
      </c>
      <c r="C68" t="s">
        <v>210</v>
      </c>
      <c r="E68" s="10"/>
      <c r="F68" s="15">
        <f>+F62/$E62</f>
        <v>0</v>
      </c>
      <c r="G68" s="15">
        <f>+G62/$E62</f>
        <v>1</v>
      </c>
      <c r="H68" s="15">
        <f>+H62/$E62</f>
        <v>0</v>
      </c>
      <c r="I68" s="10"/>
      <c r="J68" s="34"/>
      <c r="K68" s="15">
        <f>+K62/($G62)</f>
        <v>9.0531344206524617E-2</v>
      </c>
      <c r="L68" s="15">
        <f>+L62/($G62)</f>
        <v>0.90946865579347524</v>
      </c>
    </row>
    <row r="69" spans="1:12">
      <c r="A69" s="54">
        <f t="shared" si="1"/>
        <v>59</v>
      </c>
      <c r="C69" t="s">
        <v>211</v>
      </c>
      <c r="E69" s="10"/>
      <c r="F69" s="15">
        <f>(F67-F60)/($E67-$E60)</f>
        <v>0</v>
      </c>
      <c r="G69" s="15">
        <f>(G67-G60)/($E67-$E60)</f>
        <v>1</v>
      </c>
      <c r="H69" s="15">
        <f>(H67-H60)/($E67-$E60)</f>
        <v>0</v>
      </c>
      <c r="I69" s="10"/>
      <c r="J69" s="34"/>
      <c r="K69" s="15">
        <f>SUM(K61:K66)/SUM(G61:G66)</f>
        <v>0.20271404716527966</v>
      </c>
      <c r="L69" s="15">
        <f>SUM(L61:L66)/SUM(G61:G66)</f>
        <v>0.79728595283472026</v>
      </c>
    </row>
    <row r="70" spans="1:12">
      <c r="A70" s="54">
        <f t="shared" si="1"/>
        <v>60</v>
      </c>
    </row>
    <row r="71" spans="1:12">
      <c r="A71" s="54">
        <f t="shared" si="1"/>
        <v>61</v>
      </c>
      <c r="C71" s="6" t="s">
        <v>31</v>
      </c>
    </row>
    <row r="72" spans="1:12">
      <c r="A72" s="54">
        <f t="shared" si="1"/>
        <v>62</v>
      </c>
      <c r="B72">
        <v>350</v>
      </c>
      <c r="C72" t="s">
        <v>35</v>
      </c>
    </row>
    <row r="73" spans="1:12">
      <c r="A73" s="54">
        <f t="shared" si="1"/>
        <v>63</v>
      </c>
      <c r="B73">
        <v>352</v>
      </c>
      <c r="C73" t="s">
        <v>36</v>
      </c>
    </row>
    <row r="74" spans="1:12">
      <c r="A74" s="54">
        <f t="shared" si="1"/>
        <v>64</v>
      </c>
      <c r="B74">
        <v>353</v>
      </c>
      <c r="C74" t="s">
        <v>37</v>
      </c>
    </row>
    <row r="75" spans="1:12">
      <c r="A75" s="54">
        <f t="shared" si="1"/>
        <v>65</v>
      </c>
      <c r="B75">
        <v>353</v>
      </c>
      <c r="C75" t="s">
        <v>44</v>
      </c>
      <c r="E75" s="114">
        <f>3975636.76+94519.78+171202.9+59672.43+423688.98</f>
        <v>4724720.8499999996</v>
      </c>
      <c r="F75" s="5">
        <f>+E75</f>
        <v>4724720.8499999996</v>
      </c>
      <c r="G75" s="5"/>
      <c r="H75" s="5"/>
    </row>
    <row r="76" spans="1:12">
      <c r="A76" s="54">
        <f t="shared" si="1"/>
        <v>66</v>
      </c>
      <c r="B76">
        <v>355</v>
      </c>
      <c r="C76" t="s">
        <v>38</v>
      </c>
    </row>
    <row r="77" spans="1:12">
      <c r="A77" s="54">
        <f t="shared" ref="A77:A93" si="7">+A76+1</f>
        <v>67</v>
      </c>
      <c r="B77">
        <v>356</v>
      </c>
      <c r="C77" t="s">
        <v>94</v>
      </c>
    </row>
    <row r="78" spans="1:12">
      <c r="A78" s="54">
        <f t="shared" si="7"/>
        <v>68</v>
      </c>
      <c r="B78">
        <v>359</v>
      </c>
      <c r="C78" t="s">
        <v>39</v>
      </c>
      <c r="E78" s="11"/>
      <c r="F78" s="11"/>
      <c r="G78" s="11"/>
      <c r="H78" s="11"/>
    </row>
    <row r="79" spans="1:12">
      <c r="A79" s="54">
        <f t="shared" si="7"/>
        <v>69</v>
      </c>
      <c r="C79" t="s">
        <v>2</v>
      </c>
      <c r="E79" s="10">
        <f>SUM(E72:E78)</f>
        <v>4724720.8499999996</v>
      </c>
      <c r="F79" s="10">
        <f>SUM(F72:F78)</f>
        <v>4724720.8499999996</v>
      </c>
      <c r="G79" s="10">
        <f>SUM(G72:G78)</f>
        <v>0</v>
      </c>
      <c r="H79" s="10">
        <f>SUM(H72:H78)</f>
        <v>0</v>
      </c>
      <c r="I79" s="10"/>
    </row>
    <row r="80" spans="1:12">
      <c r="A80" s="54">
        <f t="shared" si="7"/>
        <v>70</v>
      </c>
      <c r="C80" t="s">
        <v>210</v>
      </c>
      <c r="E80" s="10"/>
      <c r="F80" s="15"/>
      <c r="G80" s="15"/>
      <c r="H80" s="15"/>
      <c r="I80" s="10"/>
      <c r="J80" s="34"/>
      <c r="K80" s="15"/>
      <c r="L80" s="15"/>
    </row>
    <row r="81" spans="1:12">
      <c r="A81" s="54">
        <f t="shared" si="7"/>
        <v>71</v>
      </c>
      <c r="C81" t="s">
        <v>211</v>
      </c>
      <c r="E81" s="10"/>
      <c r="F81" s="15">
        <f>(F79-F72)/($E79-$E72)</f>
        <v>1</v>
      </c>
      <c r="G81" s="15">
        <f>(G79-G72)/($E79-$E72)</f>
        <v>0</v>
      </c>
      <c r="H81" s="15">
        <f>(H79-H72)/($E79-$E72)</f>
        <v>0</v>
      </c>
      <c r="I81" s="10"/>
      <c r="J81" s="34"/>
      <c r="K81" s="15"/>
      <c r="L81" s="15"/>
    </row>
    <row r="82" spans="1:12">
      <c r="A82" s="54">
        <f t="shared" si="7"/>
        <v>72</v>
      </c>
    </row>
    <row r="83" spans="1:12">
      <c r="A83" s="54">
        <f t="shared" si="7"/>
        <v>73</v>
      </c>
      <c r="C83" s="6" t="s">
        <v>2</v>
      </c>
    </row>
    <row r="84" spans="1:12">
      <c r="A84" s="54">
        <f t="shared" si="7"/>
        <v>74</v>
      </c>
      <c r="B84">
        <v>350</v>
      </c>
      <c r="C84" t="s">
        <v>35</v>
      </c>
      <c r="E84" s="10">
        <f t="shared" ref="E84:H90" si="8">+E11+E24+E36+E48+E60+E72</f>
        <v>363809.23</v>
      </c>
      <c r="F84" s="10">
        <f t="shared" si="8"/>
        <v>0</v>
      </c>
      <c r="G84" s="10">
        <f t="shared" si="8"/>
        <v>202629.64</v>
      </c>
      <c r="H84" s="10">
        <f t="shared" si="8"/>
        <v>161179.59</v>
      </c>
      <c r="I84" s="10"/>
      <c r="K84" s="10">
        <f t="shared" ref="K84:L90" si="9">+K11+K24+K36+K48+K60+K72</f>
        <v>65491.914454482627</v>
      </c>
      <c r="L84" s="10">
        <f t="shared" si="9"/>
        <v>137137.72554551737</v>
      </c>
    </row>
    <row r="85" spans="1:12">
      <c r="A85" s="54">
        <f t="shared" si="7"/>
        <v>75</v>
      </c>
      <c r="B85">
        <v>352</v>
      </c>
      <c r="C85" t="s">
        <v>36</v>
      </c>
      <c r="E85" s="10">
        <f t="shared" si="8"/>
        <v>286.42</v>
      </c>
      <c r="F85" s="10">
        <f t="shared" si="8"/>
        <v>0</v>
      </c>
      <c r="G85" s="10">
        <f t="shared" si="8"/>
        <v>0</v>
      </c>
      <c r="H85" s="10">
        <f t="shared" si="8"/>
        <v>286.42</v>
      </c>
      <c r="I85" s="10"/>
      <c r="K85" s="10">
        <f t="shared" si="9"/>
        <v>0</v>
      </c>
      <c r="L85" s="10">
        <f t="shared" si="9"/>
        <v>0</v>
      </c>
    </row>
    <row r="86" spans="1:12">
      <c r="A86" s="54">
        <f t="shared" si="7"/>
        <v>76</v>
      </c>
      <c r="B86">
        <v>353</v>
      </c>
      <c r="C86" t="s">
        <v>37</v>
      </c>
      <c r="E86" s="10">
        <f t="shared" si="8"/>
        <v>34369671.399999999</v>
      </c>
      <c r="F86" s="10">
        <f t="shared" si="8"/>
        <v>0</v>
      </c>
      <c r="G86" s="10">
        <f t="shared" si="8"/>
        <v>25127308.870000001</v>
      </c>
      <c r="H86" s="10">
        <f t="shared" si="8"/>
        <v>9242362.5299999993</v>
      </c>
      <c r="I86" s="10"/>
      <c r="K86" s="10">
        <f t="shared" si="9"/>
        <v>2274809.0482936292</v>
      </c>
      <c r="L86" s="10">
        <f t="shared" si="9"/>
        <v>22852499.82170637</v>
      </c>
    </row>
    <row r="87" spans="1:12">
      <c r="A87" s="54">
        <f t="shared" si="7"/>
        <v>77</v>
      </c>
      <c r="B87">
        <v>353</v>
      </c>
      <c r="C87" t="s">
        <v>44</v>
      </c>
      <c r="E87" s="10">
        <f t="shared" si="8"/>
        <v>4724720.8499999996</v>
      </c>
      <c r="F87" s="10">
        <f t="shared" si="8"/>
        <v>4724720.8499999996</v>
      </c>
      <c r="G87" s="10">
        <f t="shared" si="8"/>
        <v>0</v>
      </c>
      <c r="H87" s="10">
        <f t="shared" si="8"/>
        <v>0</v>
      </c>
      <c r="I87" s="10"/>
      <c r="K87" s="10">
        <f t="shared" si="9"/>
        <v>0</v>
      </c>
      <c r="L87" s="10">
        <f t="shared" si="9"/>
        <v>0</v>
      </c>
    </row>
    <row r="88" spans="1:12">
      <c r="A88" s="54">
        <f t="shared" si="7"/>
        <v>78</v>
      </c>
      <c r="B88">
        <v>355</v>
      </c>
      <c r="C88" t="s">
        <v>38</v>
      </c>
      <c r="E88" s="10">
        <f t="shared" si="8"/>
        <v>8295618.4400000004</v>
      </c>
      <c r="F88" s="10">
        <f t="shared" si="8"/>
        <v>0</v>
      </c>
      <c r="G88" s="10">
        <f t="shared" si="8"/>
        <v>6313457.0800000001</v>
      </c>
      <c r="H88" s="10">
        <f t="shared" si="8"/>
        <v>1982161.36</v>
      </c>
      <c r="I88" s="10"/>
      <c r="K88" s="10">
        <f t="shared" si="9"/>
        <v>6313457.0800000001</v>
      </c>
      <c r="L88" s="10">
        <f t="shared" si="9"/>
        <v>0</v>
      </c>
    </row>
    <row r="89" spans="1:12">
      <c r="A89" s="54">
        <f t="shared" si="7"/>
        <v>79</v>
      </c>
      <c r="B89">
        <v>356</v>
      </c>
      <c r="C89" t="s">
        <v>94</v>
      </c>
      <c r="E89" s="10">
        <f t="shared" si="8"/>
        <v>4506648.84</v>
      </c>
      <c r="F89" s="10">
        <f t="shared" si="8"/>
        <v>0</v>
      </c>
      <c r="G89" s="10">
        <f t="shared" si="8"/>
        <v>3007911.9899999998</v>
      </c>
      <c r="H89" s="10">
        <f t="shared" si="8"/>
        <v>1498736.85</v>
      </c>
      <c r="I89" s="10"/>
      <c r="K89" s="10">
        <f t="shared" si="9"/>
        <v>3007911.9899999998</v>
      </c>
      <c r="L89" s="10">
        <f t="shared" si="9"/>
        <v>0</v>
      </c>
    </row>
    <row r="90" spans="1:12">
      <c r="A90" s="54">
        <f t="shared" si="7"/>
        <v>80</v>
      </c>
      <c r="B90">
        <v>359</v>
      </c>
      <c r="C90" t="s">
        <v>39</v>
      </c>
      <c r="E90" s="53">
        <f t="shared" si="8"/>
        <v>3260.36</v>
      </c>
      <c r="F90" s="53">
        <f t="shared" si="8"/>
        <v>0</v>
      </c>
      <c r="G90" s="53">
        <f t="shared" si="8"/>
        <v>0</v>
      </c>
      <c r="H90" s="53">
        <f t="shared" si="8"/>
        <v>3260.36</v>
      </c>
      <c r="I90" s="10"/>
      <c r="K90" s="53">
        <f t="shared" si="9"/>
        <v>0</v>
      </c>
      <c r="L90" s="53">
        <f t="shared" si="9"/>
        <v>0</v>
      </c>
    </row>
    <row r="91" spans="1:12">
      <c r="A91" s="54">
        <f t="shared" si="7"/>
        <v>81</v>
      </c>
      <c r="C91" t="s">
        <v>2</v>
      </c>
      <c r="E91" s="10">
        <f>SUM(E84:E90)</f>
        <v>52264015.539999992</v>
      </c>
      <c r="F91" s="10">
        <f>SUM(F84:F90)</f>
        <v>4724720.8499999996</v>
      </c>
      <c r="G91" s="10">
        <f>SUM(G84:G90)</f>
        <v>34651307.580000006</v>
      </c>
      <c r="H91" s="10">
        <f>SUM(H84:H90)</f>
        <v>12887987.109999998</v>
      </c>
      <c r="I91" s="10"/>
      <c r="K91" s="10">
        <f>SUM(K84:K90)</f>
        <v>11661670.032748112</v>
      </c>
      <c r="L91" s="10">
        <f>SUM(L84:L90)</f>
        <v>22989637.547251888</v>
      </c>
    </row>
    <row r="92" spans="1:12">
      <c r="A92" s="54">
        <f t="shared" si="7"/>
        <v>82</v>
      </c>
      <c r="C92" t="s">
        <v>210</v>
      </c>
      <c r="E92" s="10"/>
      <c r="F92" s="15">
        <f>+F86/$E86</f>
        <v>0</v>
      </c>
      <c r="G92" s="15">
        <f>+G86/$E86</f>
        <v>0.73108958702468141</v>
      </c>
      <c r="H92" s="15">
        <f>+H86/$E86</f>
        <v>0.2689104129753187</v>
      </c>
      <c r="I92" s="10"/>
      <c r="J92" s="34"/>
      <c r="K92" s="15">
        <f>+K86/($G86)</f>
        <v>9.0531344206524617E-2</v>
      </c>
      <c r="L92" s="15">
        <f>+L86/($G86)</f>
        <v>0.90946865579347524</v>
      </c>
    </row>
    <row r="93" spans="1:12">
      <c r="A93" s="54">
        <f t="shared" si="7"/>
        <v>83</v>
      </c>
      <c r="C93" t="s">
        <v>211</v>
      </c>
      <c r="E93" s="10"/>
      <c r="F93" s="15">
        <f>(F91-F84)/($E91-$E84)</f>
        <v>9.1034721938853896E-2</v>
      </c>
      <c r="G93" s="15">
        <f>(G91-G84)/($E91-$E84)</f>
        <v>0.6637483815428018</v>
      </c>
      <c r="H93" s="15">
        <f>(H91-H84)/($E91-$E84)</f>
        <v>0.24521689651834447</v>
      </c>
      <c r="I93" s="10"/>
      <c r="J93" s="34"/>
      <c r="K93" s="15">
        <f>(K91-K84)/($G91-$G84)</f>
        <v>0.33662186219427465</v>
      </c>
      <c r="L93" s="15">
        <f>(L91-L84)/($G91-$G84)</f>
        <v>0.66337813780572519</v>
      </c>
    </row>
  </sheetData>
  <mergeCells count="2">
    <mergeCell ref="B1:L1"/>
    <mergeCell ref="B2:L2"/>
  </mergeCells>
  <pageMargins left="0.7" right="0.7" top="0.75" bottom="0.75" header="0.3" footer="0.3"/>
  <pageSetup scale="61" orientation="landscape" r:id="rId1"/>
  <headerFooter>
    <oddHeader xml:space="preserve">&amp;RSchedule C1.0
</oddHeader>
    <oddFooter>&amp;R&amp;D</oddFooter>
  </headerFooter>
  <rowBreaks count="1" manualBreakCount="1">
    <brk id="57" max="11" man="1"/>
  </rowBreaks>
  <ignoredErrors>
    <ignoredError sqref="K21:L21" formulaRange="1"/>
  </ignoredErrors>
</worksheet>
</file>

<file path=xl/worksheets/sheet5.xml><?xml version="1.0" encoding="utf-8"?>
<worksheet xmlns="http://schemas.openxmlformats.org/spreadsheetml/2006/main" xmlns:r="http://schemas.openxmlformats.org/officeDocument/2006/relationships">
  <sheetPr>
    <tabColor rgb="FF92D050"/>
  </sheetPr>
  <dimension ref="A1:M105"/>
  <sheetViews>
    <sheetView tabSelected="1" view="pageLayout" topLeftCell="A93" workbookViewId="0">
      <selection activeCell="A116" sqref="A115:A116"/>
    </sheetView>
  </sheetViews>
  <sheetFormatPr defaultRowHeight="15"/>
  <cols>
    <col min="1" max="1" width="4.5703125" customWidth="1"/>
    <col min="2" max="2" width="7.140625" customWidth="1"/>
    <col min="3" max="3" width="36.42578125" customWidth="1"/>
    <col min="4" max="4" width="14.5703125" bestFit="1" customWidth="1"/>
    <col min="5" max="5" width="14.28515625" customWidth="1"/>
    <col min="6" max="6" width="19.5703125" customWidth="1"/>
    <col min="7" max="7" width="14.28515625" customWidth="1"/>
    <col min="8" max="8" width="13.42578125" customWidth="1"/>
    <col min="9" max="9" width="11.5703125" customWidth="1"/>
    <col min="10" max="10" width="12" customWidth="1"/>
    <col min="11" max="11" width="13" customWidth="1"/>
  </cols>
  <sheetData>
    <row r="1" spans="1:13">
      <c r="B1" s="152" t="s">
        <v>34</v>
      </c>
      <c r="C1" s="152"/>
      <c r="D1" s="152"/>
      <c r="E1" s="152"/>
      <c r="F1" s="152"/>
      <c r="G1" s="152"/>
      <c r="H1" s="152"/>
      <c r="I1" s="152"/>
      <c r="J1" s="152"/>
      <c r="K1" s="152"/>
    </row>
    <row r="2" spans="1:13">
      <c r="B2" s="152" t="s">
        <v>188</v>
      </c>
      <c r="C2" s="152"/>
      <c r="D2" s="152"/>
      <c r="E2" s="152"/>
      <c r="F2" s="152"/>
      <c r="G2" s="152"/>
      <c r="H2" s="152"/>
      <c r="I2" s="152"/>
      <c r="J2" s="152"/>
      <c r="K2" s="152"/>
    </row>
    <row r="4" spans="1:13">
      <c r="B4" s="135" t="s">
        <v>450</v>
      </c>
      <c r="E4" s="136" t="s">
        <v>232</v>
      </c>
      <c r="F4" s="136" t="s">
        <v>233</v>
      </c>
      <c r="G4" s="136" t="s">
        <v>234</v>
      </c>
      <c r="H4" s="136" t="s">
        <v>235</v>
      </c>
      <c r="I4" s="136" t="s">
        <v>236</v>
      </c>
      <c r="J4" s="136" t="s">
        <v>237</v>
      </c>
      <c r="K4" s="136" t="s">
        <v>238</v>
      </c>
      <c r="L4" s="136"/>
      <c r="M4" s="136"/>
    </row>
    <row r="5" spans="1:13">
      <c r="E5" s="71"/>
      <c r="F5" s="71"/>
      <c r="G5" s="71"/>
      <c r="H5" s="152" t="s">
        <v>313</v>
      </c>
      <c r="I5" s="152"/>
      <c r="J5" s="152"/>
      <c r="K5" s="152"/>
    </row>
    <row r="6" spans="1:13">
      <c r="E6" s="71"/>
      <c r="F6" s="71"/>
      <c r="G6" s="71"/>
      <c r="H6" s="153" t="s">
        <v>240</v>
      </c>
      <c r="I6" s="153"/>
      <c r="J6" s="153"/>
      <c r="K6" s="153"/>
    </row>
    <row r="7" spans="1:13">
      <c r="E7" s="136" t="s">
        <v>2</v>
      </c>
      <c r="F7" s="37" t="s">
        <v>186</v>
      </c>
      <c r="G7" s="37" t="s">
        <v>115</v>
      </c>
      <c r="H7" s="37" t="s">
        <v>33</v>
      </c>
      <c r="I7" s="37" t="s">
        <v>29</v>
      </c>
      <c r="J7" s="37" t="s">
        <v>26</v>
      </c>
      <c r="K7" s="37" t="s">
        <v>25</v>
      </c>
    </row>
    <row r="8" spans="1:13">
      <c r="B8" s="12"/>
      <c r="C8" s="12"/>
      <c r="E8" s="40" t="s">
        <v>119</v>
      </c>
      <c r="F8" s="55" t="s">
        <v>32</v>
      </c>
      <c r="G8" s="73" t="s">
        <v>32</v>
      </c>
      <c r="H8" s="55" t="s">
        <v>129</v>
      </c>
      <c r="I8" s="55" t="s">
        <v>129</v>
      </c>
      <c r="J8" s="55" t="s">
        <v>129</v>
      </c>
      <c r="K8" s="55" t="s">
        <v>129</v>
      </c>
    </row>
    <row r="9" spans="1:13">
      <c r="A9" s="42">
        <v>1</v>
      </c>
      <c r="B9" s="11" t="s">
        <v>45</v>
      </c>
      <c r="C9" s="11"/>
      <c r="E9" s="41"/>
    </row>
    <row r="10" spans="1:13">
      <c r="A10" s="42">
        <f>+A9+1</f>
        <v>2</v>
      </c>
      <c r="B10">
        <v>547</v>
      </c>
      <c r="C10" t="s">
        <v>46</v>
      </c>
      <c r="D10" t="s">
        <v>48</v>
      </c>
      <c r="E10" s="134">
        <v>7222</v>
      </c>
      <c r="F10" s="71">
        <v>100</v>
      </c>
      <c r="G10" s="5">
        <f>VLOOKUP($F10,AF!$B$25:$I$31,4)*$E10</f>
        <v>7222</v>
      </c>
      <c r="H10" s="5">
        <f>VLOOKUP($F10,AF!$B$25:$I$31,5)*$E10</f>
        <v>0</v>
      </c>
      <c r="I10" s="5">
        <f>VLOOKUP($F10,AF!$B$25:$I$31,6)*$E10</f>
        <v>0</v>
      </c>
      <c r="J10" s="5">
        <f>VLOOKUP($F10,AF!$B$25:$I$31,7)*$E10</f>
        <v>0</v>
      </c>
      <c r="K10" s="5">
        <f>VLOOKUP($F10,AF!$B$25:$I$31,8)*$E10</f>
        <v>0</v>
      </c>
    </row>
    <row r="11" spans="1:13">
      <c r="A11" s="42">
        <f t="shared" ref="A11:A74" si="0">+A10+1</f>
        <v>3</v>
      </c>
      <c r="B11">
        <v>548</v>
      </c>
      <c r="C11" t="s">
        <v>47</v>
      </c>
      <c r="D11" t="s">
        <v>49</v>
      </c>
      <c r="E11" s="116">
        <v>263949</v>
      </c>
      <c r="F11" s="71">
        <v>100</v>
      </c>
      <c r="G11" s="16">
        <f>VLOOKUP($F11,AF!$B$25:$I$31,4)*$E11</f>
        <v>263949</v>
      </c>
      <c r="H11" s="16">
        <f>VLOOKUP($F11,AF!$B$25:$I$31,5)*$E11</f>
        <v>0</v>
      </c>
      <c r="I11" s="16">
        <f>VLOOKUP($F11,AF!$B$25:$I$31,6)*$E11</f>
        <v>0</v>
      </c>
      <c r="J11" s="16">
        <f>VLOOKUP($F11,AF!$B$25:$I$31,7)*$E11</f>
        <v>0</v>
      </c>
      <c r="K11" s="16">
        <f>VLOOKUP($F11,AF!$B$25:$I$31,8)*$E11</f>
        <v>0</v>
      </c>
    </row>
    <row r="12" spans="1:13">
      <c r="A12" s="42">
        <f t="shared" si="0"/>
        <v>4</v>
      </c>
      <c r="C12" t="s">
        <v>2</v>
      </c>
      <c r="E12" s="5">
        <f>SUM(E10:E11)</f>
        <v>271171</v>
      </c>
      <c r="F12" s="71"/>
      <c r="G12" s="10">
        <f>SUM(G10:G11)</f>
        <v>271171</v>
      </c>
      <c r="H12" s="5">
        <f t="shared" ref="H12:K12" si="1">SUM(H10:H11)</f>
        <v>0</v>
      </c>
      <c r="I12" s="5">
        <f t="shared" si="1"/>
        <v>0</v>
      </c>
      <c r="J12" s="5">
        <f t="shared" si="1"/>
        <v>0</v>
      </c>
      <c r="K12" s="5">
        <f t="shared" si="1"/>
        <v>0</v>
      </c>
    </row>
    <row r="13" spans="1:13">
      <c r="A13" s="42">
        <f t="shared" si="0"/>
        <v>5</v>
      </c>
      <c r="F13" s="71"/>
      <c r="H13" s="5"/>
      <c r="I13" s="5"/>
      <c r="J13" s="5"/>
      <c r="K13" s="5"/>
    </row>
    <row r="14" spans="1:13">
      <c r="A14" s="42">
        <f t="shared" si="0"/>
        <v>6</v>
      </c>
      <c r="B14" s="11" t="s">
        <v>50</v>
      </c>
      <c r="C14" s="11"/>
      <c r="F14" s="71"/>
      <c r="H14" s="5"/>
      <c r="I14" s="5"/>
      <c r="J14" s="5"/>
      <c r="K14" s="5"/>
    </row>
    <row r="15" spans="1:13">
      <c r="A15" s="42">
        <f t="shared" si="0"/>
        <v>7</v>
      </c>
      <c r="B15">
        <v>555</v>
      </c>
      <c r="C15" s="8" t="s">
        <v>51</v>
      </c>
      <c r="D15" s="8" t="s">
        <v>52</v>
      </c>
      <c r="E15" s="134">
        <v>327286831</v>
      </c>
      <c r="F15" s="71">
        <v>100</v>
      </c>
      <c r="G15" s="5">
        <f>VLOOKUP($F15,AF!$B$25:$I$31,4)*$E15</f>
        <v>327286831</v>
      </c>
      <c r="H15" s="5">
        <f>VLOOKUP($F15,AF!$B$25:$I$31,5)*$E15</f>
        <v>0</v>
      </c>
      <c r="I15" s="5">
        <f>VLOOKUP($F15,AF!$B$25:$I$31,6)*$E15</f>
        <v>0</v>
      </c>
      <c r="J15" s="5">
        <f>VLOOKUP($F15,AF!$B$25:$I$31,7)*$E15</f>
        <v>0</v>
      </c>
      <c r="K15" s="5">
        <f>VLOOKUP($F15,AF!$B$25:$I$31,8)*$E15</f>
        <v>0</v>
      </c>
    </row>
    <row r="16" spans="1:13">
      <c r="A16" s="42">
        <f t="shared" si="0"/>
        <v>8</v>
      </c>
      <c r="B16">
        <v>556</v>
      </c>
      <c r="C16" s="8" t="s">
        <v>44</v>
      </c>
      <c r="D16" s="8" t="s">
        <v>446</v>
      </c>
      <c r="E16" s="134">
        <v>639294.71999999997</v>
      </c>
      <c r="F16" s="71">
        <v>103</v>
      </c>
      <c r="G16" s="5">
        <f>VLOOKUP($F16,AF!$B$25:$I$31,4)*$E16</f>
        <v>590289.54982578394</v>
      </c>
      <c r="H16" s="5">
        <f>VLOOKUP($F16,AF!$B$25:$I$31,5)*$E16</f>
        <v>49005.170174216022</v>
      </c>
      <c r="I16" s="5">
        <f>VLOOKUP($F16,AF!$B$25:$I$31,6)*$E16</f>
        <v>4455.015470383275</v>
      </c>
      <c r="J16" s="5">
        <f>VLOOKUP($F16,AF!$B$25:$I$31,7)*$E16</f>
        <v>2227.5077351916375</v>
      </c>
      <c r="K16" s="5">
        <f>VLOOKUP($F16,AF!$B$25:$I$31,8)*$E16</f>
        <v>42322.646968641115</v>
      </c>
    </row>
    <row r="17" spans="1:11">
      <c r="A17" s="42">
        <f t="shared" si="0"/>
        <v>9</v>
      </c>
      <c r="B17">
        <v>556</v>
      </c>
      <c r="C17" s="8" t="s">
        <v>117</v>
      </c>
      <c r="D17" s="8"/>
      <c r="E17" s="134">
        <v>13081</v>
      </c>
      <c r="F17" s="71">
        <v>104</v>
      </c>
      <c r="G17" s="5">
        <f>VLOOKUP($F17,AF!$B$25:$I$31,4)*$E17</f>
        <v>12078.275261324041</v>
      </c>
      <c r="H17" s="5">
        <f>VLOOKUP($F17,AF!$B$25:$I$31,5)*$E17</f>
        <v>1002.7247386759581</v>
      </c>
      <c r="I17" s="5">
        <f>VLOOKUP($F17,AF!$B$25:$I$31,6)*$E17</f>
        <v>91.156794425087114</v>
      </c>
      <c r="J17" s="5">
        <f>VLOOKUP($F17,AF!$B$25:$I$31,7)*$E17</f>
        <v>45.578397212543557</v>
      </c>
      <c r="K17" s="5">
        <f>VLOOKUP($F17,AF!$B$25:$I$31,8)*$E17</f>
        <v>865.98954703832749</v>
      </c>
    </row>
    <row r="18" spans="1:11">
      <c r="A18" s="42">
        <f t="shared" si="0"/>
        <v>10</v>
      </c>
      <c r="B18">
        <v>557</v>
      </c>
      <c r="C18" s="8" t="s">
        <v>191</v>
      </c>
      <c r="D18" s="8" t="s">
        <v>60</v>
      </c>
      <c r="E18" s="116">
        <v>134425</v>
      </c>
      <c r="F18" s="71">
        <v>100</v>
      </c>
      <c r="G18" s="16">
        <f>VLOOKUP($F18,AF!$B$25:$I$31,4)*$E18</f>
        <v>134425</v>
      </c>
      <c r="H18" s="16">
        <f>VLOOKUP($F18,AF!$B$25:$I$31,5)*$E18</f>
        <v>0</v>
      </c>
      <c r="I18" s="16">
        <f>VLOOKUP($F18,AF!$B$25:$I$31,6)*$E18</f>
        <v>0</v>
      </c>
      <c r="J18" s="16">
        <f>VLOOKUP($F18,AF!$B$25:$I$31,7)*$E18</f>
        <v>0</v>
      </c>
      <c r="K18" s="16">
        <f>VLOOKUP($F18,AF!$B$25:$I$31,8)*$E18</f>
        <v>0</v>
      </c>
    </row>
    <row r="19" spans="1:11">
      <c r="A19" s="42">
        <f t="shared" si="0"/>
        <v>11</v>
      </c>
      <c r="C19" s="8" t="s">
        <v>2</v>
      </c>
      <c r="D19" s="8"/>
      <c r="E19" s="5">
        <f>SUM(E15:E18)</f>
        <v>328073631.72000003</v>
      </c>
      <c r="F19" s="71"/>
      <c r="G19" s="5">
        <f>SUM(G15:G18)</f>
        <v>328023623.82508713</v>
      </c>
      <c r="H19" s="5">
        <f t="shared" ref="H19:K19" si="2">SUM(H15:H18)</f>
        <v>50007.894912891978</v>
      </c>
      <c r="I19" s="5">
        <f t="shared" si="2"/>
        <v>4546.1722648083623</v>
      </c>
      <c r="J19" s="5">
        <f t="shared" si="2"/>
        <v>2273.0861324041812</v>
      </c>
      <c r="K19" s="5">
        <f t="shared" si="2"/>
        <v>43188.636515679442</v>
      </c>
    </row>
    <row r="20" spans="1:11">
      <c r="A20" s="42">
        <f t="shared" si="0"/>
        <v>12</v>
      </c>
      <c r="C20" s="8"/>
      <c r="D20" s="8"/>
      <c r="F20" s="71"/>
      <c r="H20" s="5"/>
      <c r="I20" s="5"/>
      <c r="J20" s="5"/>
      <c r="K20" s="5"/>
    </row>
    <row r="21" spans="1:11">
      <c r="A21" s="42">
        <f t="shared" si="0"/>
        <v>13</v>
      </c>
      <c r="B21" s="11" t="s">
        <v>53</v>
      </c>
      <c r="C21" s="49"/>
      <c r="D21" s="8"/>
      <c r="F21" s="71"/>
      <c r="H21" s="5"/>
      <c r="I21" s="5"/>
      <c r="J21" s="5"/>
      <c r="K21" s="5"/>
    </row>
    <row r="22" spans="1:11">
      <c r="A22" s="42">
        <f t="shared" si="0"/>
        <v>14</v>
      </c>
      <c r="B22">
        <v>560</v>
      </c>
      <c r="C22" s="8" t="s">
        <v>54</v>
      </c>
      <c r="D22" s="8" t="s">
        <v>56</v>
      </c>
      <c r="E22" s="134">
        <v>311807</v>
      </c>
      <c r="F22" s="71">
        <v>105</v>
      </c>
      <c r="G22" s="5">
        <f>VLOOKUP($F22,AF!$B$25:$I$31,4)*$E22</f>
        <v>306000.62978083483</v>
      </c>
      <c r="H22" s="5">
        <f>VLOOKUP($F22,AF!$B$25:$I$31,5)*$E22</f>
        <v>5806.3702191651637</v>
      </c>
      <c r="I22" s="5">
        <f>VLOOKUP($F22,AF!$B$25:$I$31,6)*$E22</f>
        <v>373.63928840145974</v>
      </c>
      <c r="J22" s="5">
        <f>VLOOKUP($F22,AF!$B$25:$I$31,7)*$E22</f>
        <v>6.8534812001432215</v>
      </c>
      <c r="K22" s="5">
        <f>VLOOKUP($F22,AF!$B$25:$I$31,8)*$E22</f>
        <v>5425.8774495635598</v>
      </c>
    </row>
    <row r="23" spans="1:11">
      <c r="A23" s="42">
        <f t="shared" si="0"/>
        <v>15</v>
      </c>
      <c r="B23">
        <v>561</v>
      </c>
      <c r="C23" s="8" t="s">
        <v>392</v>
      </c>
      <c r="D23" s="8" t="s">
        <v>57</v>
      </c>
      <c r="E23" s="134">
        <v>14881</v>
      </c>
      <c r="F23" s="110" t="s">
        <v>400</v>
      </c>
      <c r="G23" s="5">
        <f>+E23-H23</f>
        <v>13533.772286205676</v>
      </c>
      <c r="H23" s="5">
        <f>+TransExp!J82</f>
        <v>1347.2277137943231</v>
      </c>
      <c r="I23" s="5">
        <f>+TransExp!J10</f>
        <v>0</v>
      </c>
      <c r="J23" s="5">
        <f>+TransExp!J46</f>
        <v>0</v>
      </c>
      <c r="K23" s="5">
        <f>+TransExp!J58</f>
        <v>1347.2277137943231</v>
      </c>
    </row>
    <row r="24" spans="1:11">
      <c r="A24" s="42">
        <f t="shared" si="0"/>
        <v>16</v>
      </c>
      <c r="B24">
        <v>562</v>
      </c>
      <c r="C24" s="8" t="s">
        <v>414</v>
      </c>
      <c r="D24" s="8" t="s">
        <v>58</v>
      </c>
      <c r="E24" s="10">
        <f>+E87</f>
        <v>122657</v>
      </c>
      <c r="F24" s="110" t="s">
        <v>401</v>
      </c>
      <c r="G24" s="5">
        <f>+E24-H24</f>
        <v>114957.86438106971</v>
      </c>
      <c r="H24" s="5">
        <f>+TransExp!J83</f>
        <v>7699.1356189302887</v>
      </c>
      <c r="I24" s="5">
        <f>+TransExp!J11</f>
        <v>1394.1715883245304</v>
      </c>
      <c r="J24" s="5">
        <f>+TransExp!J47</f>
        <v>579.40060292175758</v>
      </c>
      <c r="K24" s="5">
        <f>+TransExp!J59</f>
        <v>5725.563427684001</v>
      </c>
    </row>
    <row r="25" spans="1:11">
      <c r="A25" s="42">
        <f t="shared" si="0"/>
        <v>17</v>
      </c>
      <c r="B25">
        <v>562</v>
      </c>
      <c r="C25" s="8" t="s">
        <v>178</v>
      </c>
      <c r="D25" s="8"/>
      <c r="E25" s="10">
        <f>+E86</f>
        <v>3561</v>
      </c>
      <c r="F25" s="71">
        <v>104</v>
      </c>
      <c r="G25" s="5">
        <f>VLOOKUP($F25,AF!$B$25:$I$31,4)*$E25</f>
        <v>3288.0313588850172</v>
      </c>
      <c r="H25" s="5">
        <f>VLOOKUP($F25,AF!$B$25:$I$31,5)*$E25</f>
        <v>272.96864111498257</v>
      </c>
      <c r="I25" s="5">
        <f>VLOOKUP($F25,AF!$B$25:$I$31,6)*$E25</f>
        <v>24.815331010452962</v>
      </c>
      <c r="J25" s="5">
        <f>VLOOKUP($F25,AF!$B$25:$I$31,7)*$E25</f>
        <v>12.407665505226481</v>
      </c>
      <c r="K25" s="5">
        <f>VLOOKUP($F25,AF!$B$25:$I$31,8)*$E25</f>
        <v>235.74564459930312</v>
      </c>
    </row>
    <row r="26" spans="1:11">
      <c r="A26" s="42">
        <f t="shared" si="0"/>
        <v>18</v>
      </c>
      <c r="B26">
        <v>565</v>
      </c>
      <c r="C26" s="8" t="s">
        <v>55</v>
      </c>
      <c r="D26" s="8" t="s">
        <v>59</v>
      </c>
      <c r="E26" s="116">
        <v>26100962</v>
      </c>
      <c r="F26" s="71">
        <v>100</v>
      </c>
      <c r="G26" s="16">
        <f>VLOOKUP($F26,AF!$B$25:$I$31,4)*$E26</f>
        <v>26100962</v>
      </c>
      <c r="H26" s="16">
        <f>VLOOKUP($F26,AF!$B$25:$I$31,5)*$E26</f>
        <v>0</v>
      </c>
      <c r="I26" s="16">
        <f>VLOOKUP($F26,AF!$B$25:$I$31,6)*$E26</f>
        <v>0</v>
      </c>
      <c r="J26" s="16">
        <f>VLOOKUP($F26,AF!$B$25:$I$31,7)*$E26</f>
        <v>0</v>
      </c>
      <c r="K26" s="16">
        <f>VLOOKUP($F26,AF!$B$25:$I$31,8)*$E26</f>
        <v>0</v>
      </c>
    </row>
    <row r="27" spans="1:11">
      <c r="A27" s="42">
        <f t="shared" si="0"/>
        <v>19</v>
      </c>
      <c r="C27" s="8" t="s">
        <v>2</v>
      </c>
      <c r="D27" s="8"/>
      <c r="E27" s="5">
        <f>SUM(E22:E26)</f>
        <v>26553868</v>
      </c>
      <c r="F27" s="71"/>
      <c r="G27" s="5">
        <f>SUM(G22:G26)</f>
        <v>26538742.297806997</v>
      </c>
      <c r="H27" s="5">
        <f>SUM(H22:H26)</f>
        <v>15125.702193004758</v>
      </c>
      <c r="I27" s="5">
        <f t="shared" ref="I27:K27" si="3">SUM(I22:I26)</f>
        <v>1792.6262077364431</v>
      </c>
      <c r="J27" s="5">
        <f t="shared" si="3"/>
        <v>598.66174962712739</v>
      </c>
      <c r="K27" s="5">
        <f t="shared" si="3"/>
        <v>12734.414235641187</v>
      </c>
    </row>
    <row r="28" spans="1:11">
      <c r="A28" s="42">
        <f t="shared" si="0"/>
        <v>20</v>
      </c>
      <c r="C28" s="8"/>
      <c r="D28" s="8"/>
      <c r="F28" s="71"/>
      <c r="H28" s="5"/>
      <c r="I28" s="5"/>
      <c r="J28" s="5"/>
      <c r="K28" s="5"/>
    </row>
    <row r="29" spans="1:11">
      <c r="A29" s="42">
        <f t="shared" si="0"/>
        <v>21</v>
      </c>
      <c r="B29" s="11" t="s">
        <v>86</v>
      </c>
      <c r="C29" s="49"/>
      <c r="D29" s="8"/>
      <c r="F29" s="71"/>
      <c r="H29" s="5"/>
      <c r="I29" s="5"/>
      <c r="J29" s="5"/>
      <c r="K29" s="5"/>
    </row>
    <row r="30" spans="1:11">
      <c r="A30" s="42">
        <f t="shared" si="0"/>
        <v>22</v>
      </c>
      <c r="B30">
        <v>570</v>
      </c>
      <c r="C30" s="8" t="s">
        <v>207</v>
      </c>
      <c r="D30" s="8" t="s">
        <v>87</v>
      </c>
      <c r="E30" s="10">
        <f>+E98</f>
        <v>600143</v>
      </c>
      <c r="F30" s="110" t="s">
        <v>402</v>
      </c>
      <c r="G30" s="5">
        <f>+E30-H30</f>
        <v>143141.00439986645</v>
      </c>
      <c r="H30" s="5">
        <f>+TransExp!J86</f>
        <v>457001.99560013355</v>
      </c>
      <c r="I30" s="5">
        <f>+TransExp!J13</f>
        <v>13557.035600133559</v>
      </c>
      <c r="J30" s="5">
        <f>+TransExp!J49</f>
        <v>0</v>
      </c>
      <c r="K30" s="5">
        <f>+TransExp!J61</f>
        <v>443444.96</v>
      </c>
    </row>
    <row r="31" spans="1:11">
      <c r="A31" s="42">
        <f t="shared" si="0"/>
        <v>23</v>
      </c>
      <c r="B31">
        <v>571</v>
      </c>
      <c r="C31" s="8" t="s">
        <v>208</v>
      </c>
      <c r="D31" s="8" t="s">
        <v>88</v>
      </c>
      <c r="E31" s="38">
        <f>+E105</f>
        <v>82793</v>
      </c>
      <c r="F31" s="110" t="s">
        <v>403</v>
      </c>
      <c r="G31" s="16">
        <f>+E31-H31</f>
        <v>47725.645690912934</v>
      </c>
      <c r="H31" s="16">
        <f>+TransExp!J87</f>
        <v>35067.354309087066</v>
      </c>
      <c r="I31" s="16">
        <f>+TransExp!J14</f>
        <v>17288.284309087067</v>
      </c>
      <c r="J31" s="16">
        <f>+TransExp!J50</f>
        <v>0</v>
      </c>
      <c r="K31" s="16">
        <f>+TransExp!J62</f>
        <v>17779.07</v>
      </c>
    </row>
    <row r="32" spans="1:11">
      <c r="A32" s="42">
        <f t="shared" si="0"/>
        <v>24</v>
      </c>
      <c r="C32" s="8" t="s">
        <v>2</v>
      </c>
      <c r="D32" s="8"/>
      <c r="E32" s="5">
        <f>SUM(E30:E31)</f>
        <v>682936</v>
      </c>
      <c r="F32" s="71"/>
      <c r="G32" s="5">
        <f>SUM(G30:G31)</f>
        <v>190866.65009077938</v>
      </c>
      <c r="H32" s="5">
        <f>SUM(H30:H31)</f>
        <v>492069.34990922059</v>
      </c>
      <c r="I32" s="5">
        <f t="shared" ref="I32:K32" si="4">SUM(I30:I31)</f>
        <v>30845.319909220627</v>
      </c>
      <c r="J32" s="5">
        <f t="shared" si="4"/>
        <v>0</v>
      </c>
      <c r="K32" s="5">
        <f t="shared" si="4"/>
        <v>461224.03</v>
      </c>
    </row>
    <row r="33" spans="1:11" ht="15.75" thickBot="1">
      <c r="A33" s="42">
        <f t="shared" si="0"/>
        <v>25</v>
      </c>
      <c r="C33" s="8"/>
      <c r="D33" s="8"/>
      <c r="E33" s="17"/>
      <c r="F33" s="71"/>
      <c r="G33" s="17"/>
      <c r="H33" s="33"/>
      <c r="I33" s="33"/>
      <c r="J33" s="33"/>
      <c r="K33" s="33"/>
    </row>
    <row r="34" spans="1:11" ht="15.75" thickTop="1">
      <c r="A34" s="42">
        <f t="shared" si="0"/>
        <v>26</v>
      </c>
      <c r="B34" t="s">
        <v>177</v>
      </c>
      <c r="C34" s="8"/>
      <c r="D34" s="8"/>
      <c r="E34" s="5">
        <f>+E27+E32</f>
        <v>27236804</v>
      </c>
      <c r="F34" s="71"/>
      <c r="G34" s="5">
        <f>+G27+G32</f>
        <v>26729608.947897777</v>
      </c>
      <c r="H34" s="5">
        <f>+H27+H32</f>
        <v>507195.05210222537</v>
      </c>
      <c r="I34" s="5">
        <f t="shared" ref="I34:K34" si="5">+I27+I32</f>
        <v>32637.946116957071</v>
      </c>
      <c r="J34" s="5">
        <f t="shared" si="5"/>
        <v>598.66174962712739</v>
      </c>
      <c r="K34" s="5">
        <f t="shared" si="5"/>
        <v>473958.44423564122</v>
      </c>
    </row>
    <row r="35" spans="1:11">
      <c r="A35" s="42">
        <f t="shared" si="0"/>
        <v>27</v>
      </c>
      <c r="C35" s="8"/>
      <c r="D35" s="8"/>
      <c r="F35" s="71"/>
      <c r="H35" s="5"/>
      <c r="I35" s="5"/>
      <c r="J35" s="5"/>
      <c r="K35" s="5"/>
    </row>
    <row r="36" spans="1:11">
      <c r="A36" s="42">
        <f t="shared" si="0"/>
        <v>28</v>
      </c>
      <c r="B36" s="11" t="s">
        <v>61</v>
      </c>
      <c r="C36" s="49"/>
      <c r="D36" s="8"/>
      <c r="F36" s="71"/>
      <c r="H36" s="5"/>
      <c r="I36" s="5"/>
      <c r="J36" s="5"/>
      <c r="K36" s="5"/>
    </row>
    <row r="37" spans="1:11">
      <c r="A37" s="42">
        <f t="shared" si="0"/>
        <v>29</v>
      </c>
      <c r="B37">
        <v>586</v>
      </c>
      <c r="C37" s="8" t="s">
        <v>62</v>
      </c>
      <c r="D37" s="8" t="s">
        <v>63</v>
      </c>
      <c r="E37" s="116">
        <v>34167</v>
      </c>
      <c r="F37" s="71">
        <v>103</v>
      </c>
      <c r="G37" s="16">
        <f>VLOOKUP($F37,AF!$B$25:$I$31,4)*$E37</f>
        <v>31547.92682926829</v>
      </c>
      <c r="H37" s="16">
        <f>VLOOKUP($F37,AF!$B$25:$I$31,5)*$E37</f>
        <v>2619.0731707317073</v>
      </c>
      <c r="I37" s="16">
        <f>VLOOKUP($F37,AF!$B$25:$I$31,6)*$E37</f>
        <v>238.09756097560975</v>
      </c>
      <c r="J37" s="16">
        <f>VLOOKUP($F37,AF!$B$25:$I$31,7)*$E37</f>
        <v>119.04878048780488</v>
      </c>
      <c r="K37" s="16">
        <f>VLOOKUP($F37,AF!$B$25:$I$31,8)*$E37</f>
        <v>2261.9268292682927</v>
      </c>
    </row>
    <row r="38" spans="1:11">
      <c r="A38" s="42">
        <f t="shared" si="0"/>
        <v>30</v>
      </c>
      <c r="C38" s="8" t="s">
        <v>2</v>
      </c>
      <c r="D38" s="8"/>
      <c r="E38" s="5">
        <f>SUM(E37)</f>
        <v>34167</v>
      </c>
      <c r="F38" s="71"/>
      <c r="G38" s="5">
        <f t="shared" ref="G38:K38" si="6">SUM(G37)</f>
        <v>31547.92682926829</v>
      </c>
      <c r="H38" s="5">
        <f t="shared" si="6"/>
        <v>2619.0731707317073</v>
      </c>
      <c r="I38" s="5">
        <f t="shared" si="6"/>
        <v>238.09756097560975</v>
      </c>
      <c r="J38" s="5">
        <f t="shared" si="6"/>
        <v>119.04878048780488</v>
      </c>
      <c r="K38" s="5">
        <f t="shared" si="6"/>
        <v>2261.9268292682927</v>
      </c>
    </row>
    <row r="39" spans="1:11">
      <c r="A39" s="42">
        <f t="shared" si="0"/>
        <v>31</v>
      </c>
      <c r="C39" s="8"/>
      <c r="D39" s="8"/>
      <c r="F39" s="71"/>
      <c r="H39" s="5"/>
      <c r="I39" s="5"/>
      <c r="J39" s="5"/>
      <c r="K39" s="5"/>
    </row>
    <row r="40" spans="1:11">
      <c r="A40" s="42">
        <f t="shared" si="0"/>
        <v>32</v>
      </c>
      <c r="B40" s="11" t="s">
        <v>64</v>
      </c>
      <c r="C40" s="49"/>
      <c r="D40" s="8"/>
      <c r="F40" s="71"/>
      <c r="H40" s="5"/>
      <c r="I40" s="5"/>
      <c r="J40" s="5"/>
      <c r="K40" s="5"/>
    </row>
    <row r="41" spans="1:11">
      <c r="A41" s="42">
        <f t="shared" si="0"/>
        <v>33</v>
      </c>
      <c r="B41">
        <v>912</v>
      </c>
      <c r="C41" s="8" t="s">
        <v>65</v>
      </c>
      <c r="D41" s="8" t="s">
        <v>66</v>
      </c>
      <c r="E41" s="116">
        <v>1134044</v>
      </c>
      <c r="F41" s="71">
        <v>100</v>
      </c>
      <c r="G41" s="16">
        <f>VLOOKUP($F41,AF!$B$25:$I$31,4)*$E41</f>
        <v>1134044</v>
      </c>
      <c r="H41" s="16">
        <f>VLOOKUP($F41,AF!$B$25:$I$31,5)*$E41</f>
        <v>0</v>
      </c>
      <c r="I41" s="16">
        <f>VLOOKUP($F41,AF!$B$25:$I$31,6)*$E41</f>
        <v>0</v>
      </c>
      <c r="J41" s="16">
        <f>VLOOKUP($F41,AF!$B$25:$I$31,7)*$E41</f>
        <v>0</v>
      </c>
      <c r="K41" s="16">
        <f>VLOOKUP($F41,AF!$B$25:$I$31,8)*$E41</f>
        <v>0</v>
      </c>
    </row>
    <row r="42" spans="1:11">
      <c r="A42" s="42">
        <f t="shared" si="0"/>
        <v>34</v>
      </c>
      <c r="C42" s="8" t="s">
        <v>2</v>
      </c>
      <c r="D42" s="8"/>
      <c r="E42" s="10">
        <f>SUM(E41)</f>
        <v>1134044</v>
      </c>
      <c r="F42" s="71"/>
      <c r="G42" s="10">
        <f t="shared" ref="G42:K42" si="7">SUM(G41)</f>
        <v>1134044</v>
      </c>
      <c r="H42" s="5">
        <f t="shared" si="7"/>
        <v>0</v>
      </c>
      <c r="I42" s="5">
        <f t="shared" si="7"/>
        <v>0</v>
      </c>
      <c r="J42" s="5">
        <f t="shared" si="7"/>
        <v>0</v>
      </c>
      <c r="K42" s="5">
        <f t="shared" si="7"/>
        <v>0</v>
      </c>
    </row>
    <row r="43" spans="1:11">
      <c r="A43" s="42">
        <f t="shared" si="0"/>
        <v>35</v>
      </c>
      <c r="C43" s="8"/>
      <c r="D43" s="8"/>
      <c r="F43" s="71"/>
      <c r="H43" s="5"/>
      <c r="I43" s="5"/>
      <c r="J43" s="5"/>
      <c r="K43" s="5"/>
    </row>
    <row r="44" spans="1:11">
      <c r="A44" s="42">
        <f t="shared" si="0"/>
        <v>36</v>
      </c>
      <c r="B44" s="11" t="s">
        <v>67</v>
      </c>
      <c r="C44" s="49"/>
      <c r="D44" s="8"/>
      <c r="F44" s="71"/>
      <c r="H44" s="5"/>
      <c r="I44" s="5"/>
      <c r="J44" s="5"/>
      <c r="K44" s="5"/>
    </row>
    <row r="45" spans="1:11">
      <c r="A45" s="42">
        <f t="shared" si="0"/>
        <v>37</v>
      </c>
      <c r="B45">
        <v>920</v>
      </c>
      <c r="C45" s="8" t="s">
        <v>68</v>
      </c>
      <c r="D45" s="8" t="s">
        <v>75</v>
      </c>
      <c r="E45" s="134">
        <v>2040352</v>
      </c>
      <c r="F45" s="71">
        <v>106</v>
      </c>
      <c r="G45" s="5">
        <f>VLOOKUP($F45,AF!$B$25:$I$31,4)*$E45</f>
        <v>2002357.2176846124</v>
      </c>
      <c r="H45" s="5">
        <f>VLOOKUP($F45,AF!$B$25:$I$31,5)*$E45</f>
        <v>37994.78231538766</v>
      </c>
      <c r="I45" s="5">
        <f>VLOOKUP($F45,AF!$B$25:$I$31,6)*$E45</f>
        <v>2444.960085464711</v>
      </c>
      <c r="J45" s="5">
        <f>VLOOKUP($F45,AF!$B$25:$I$31,7)*$E45</f>
        <v>44.846697071183847</v>
      </c>
      <c r="K45" s="5">
        <f>VLOOKUP($F45,AF!$B$25:$I$31,8)*$E45</f>
        <v>35504.975532851757</v>
      </c>
    </row>
    <row r="46" spans="1:11">
      <c r="A46" s="42">
        <f t="shared" si="0"/>
        <v>38</v>
      </c>
      <c r="B46">
        <v>921</v>
      </c>
      <c r="C46" s="8" t="s">
        <v>69</v>
      </c>
      <c r="D46" s="8" t="s">
        <v>76</v>
      </c>
      <c r="E46" s="134">
        <v>1884636</v>
      </c>
      <c r="F46" s="71">
        <v>106</v>
      </c>
      <c r="G46" s="5">
        <f>VLOOKUP($F46,AF!$B$25:$I$31,4)*$E46</f>
        <v>1849540.911229169</v>
      </c>
      <c r="H46" s="5">
        <f>VLOOKUP($F46,AF!$B$25:$I$31,5)*$E46</f>
        <v>35095.088770831178</v>
      </c>
      <c r="I46" s="5">
        <f>VLOOKUP($F46,AF!$B$25:$I$31,6)*$E46</f>
        <v>2258.3651230914425</v>
      </c>
      <c r="J46" s="5">
        <f>VLOOKUP($F46,AF!$B$25:$I$31,7)*$E46</f>
        <v>41.424077699067439</v>
      </c>
      <c r="K46" s="5">
        <f>VLOOKUP($F46,AF!$B$25:$I$31,8)*$E46</f>
        <v>32795.299570040661</v>
      </c>
    </row>
    <row r="47" spans="1:11">
      <c r="A47" s="42">
        <f t="shared" si="0"/>
        <v>39</v>
      </c>
      <c r="B47">
        <v>922</v>
      </c>
      <c r="C47" s="8" t="s">
        <v>70</v>
      </c>
      <c r="D47" s="8" t="s">
        <v>77</v>
      </c>
      <c r="E47" s="134">
        <v>-1265640</v>
      </c>
      <c r="F47" s="71">
        <v>106</v>
      </c>
      <c r="G47" s="5">
        <f>VLOOKUP($F47,AF!$B$25:$I$31,4)*$E47</f>
        <v>-1242071.6567486164</v>
      </c>
      <c r="H47" s="5">
        <f>VLOOKUP($F47,AF!$B$25:$I$31,5)*$E47</f>
        <v>-23568.3432513837</v>
      </c>
      <c r="I47" s="5">
        <f>VLOOKUP($F47,AF!$B$25:$I$31,6)*$E47</f>
        <v>-1516.6203099110137</v>
      </c>
      <c r="J47" s="5">
        <f>VLOOKUP($F47,AF!$B$25:$I$31,7)*$E47</f>
        <v>-27.818618395832249</v>
      </c>
      <c r="K47" s="5">
        <f>VLOOKUP($F47,AF!$B$25:$I$31,8)*$E47</f>
        <v>-22023.904323076851</v>
      </c>
    </row>
    <row r="48" spans="1:11">
      <c r="A48" s="42">
        <f t="shared" si="0"/>
        <v>40</v>
      </c>
      <c r="B48">
        <v>923</v>
      </c>
      <c r="C48" s="8" t="s">
        <v>84</v>
      </c>
      <c r="D48" s="8" t="s">
        <v>78</v>
      </c>
      <c r="E48" s="134">
        <v>5731537</v>
      </c>
      <c r="F48" s="71">
        <v>106</v>
      </c>
      <c r="G48" s="5">
        <f>VLOOKUP($F48,AF!$B$25:$I$31,4)*$E48</f>
        <v>5624806.1512799803</v>
      </c>
      <c r="H48" s="5">
        <f>VLOOKUP($F48,AF!$B$25:$I$31,5)*$E48</f>
        <v>106730.8487200199</v>
      </c>
      <c r="I48" s="5">
        <f>VLOOKUP($F48,AF!$B$25:$I$31,6)*$E48</f>
        <v>6868.1184390556891</v>
      </c>
      <c r="J48" s="5">
        <f>VLOOKUP($F48,AF!$B$25:$I$31,7)*$E48</f>
        <v>125.97850939018457</v>
      </c>
      <c r="K48" s="5">
        <f>VLOOKUP($F48,AF!$B$25:$I$31,8)*$E48</f>
        <v>99736.75177157401</v>
      </c>
    </row>
    <row r="49" spans="1:11">
      <c r="A49" s="42">
        <f t="shared" si="0"/>
        <v>41</v>
      </c>
      <c r="B49">
        <v>924</v>
      </c>
      <c r="C49" s="8" t="s">
        <v>71</v>
      </c>
      <c r="D49" s="8" t="s">
        <v>447</v>
      </c>
      <c r="E49" s="134">
        <v>136833.45000000001</v>
      </c>
      <c r="F49" s="71">
        <v>106</v>
      </c>
      <c r="G49" s="5">
        <f>VLOOKUP($F49,AF!$B$25:$I$31,4)*$E49</f>
        <v>134285.38126175609</v>
      </c>
      <c r="H49" s="5">
        <f>VLOOKUP($F49,AF!$B$25:$I$31,5)*$E49</f>
        <v>2548.0687382439314</v>
      </c>
      <c r="I49" s="5">
        <f>VLOOKUP($F49,AF!$B$25:$I$31,6)*$E49</f>
        <v>163.96794455389622</v>
      </c>
      <c r="J49" s="5">
        <f>VLOOKUP($F49,AF!$B$25:$I$31,7)*$E49</f>
        <v>3.0075831431806774</v>
      </c>
      <c r="K49" s="5">
        <f>VLOOKUP($F49,AF!$B$25:$I$31,8)*$E49</f>
        <v>2381.0932105468542</v>
      </c>
    </row>
    <row r="50" spans="1:11">
      <c r="A50" s="42">
        <f t="shared" si="0"/>
        <v>42</v>
      </c>
      <c r="B50">
        <v>924</v>
      </c>
      <c r="C50" s="8" t="s">
        <v>195</v>
      </c>
      <c r="D50" s="8"/>
      <c r="E50" s="134">
        <v>103805.55</v>
      </c>
      <c r="F50" s="110" t="s">
        <v>417</v>
      </c>
      <c r="G50" s="5">
        <f>+E50-H50</f>
        <v>54705.521137336371</v>
      </c>
      <c r="H50" s="5">
        <f>+TransExp!J88</f>
        <v>49100.028862663632</v>
      </c>
      <c r="I50" s="5">
        <f>+TransExp!J15</f>
        <v>457.8899353938134</v>
      </c>
      <c r="J50" s="5">
        <f>+TransExp!J51</f>
        <v>324.44532605390083</v>
      </c>
      <c r="K50" s="5">
        <f>+TransExp!J63</f>
        <v>48317.69360121592</v>
      </c>
    </row>
    <row r="51" spans="1:11">
      <c r="A51" s="42">
        <f t="shared" si="0"/>
        <v>43</v>
      </c>
      <c r="B51">
        <v>926</v>
      </c>
      <c r="C51" s="8" t="s">
        <v>72</v>
      </c>
      <c r="D51" s="8" t="s">
        <v>79</v>
      </c>
      <c r="E51" s="134">
        <v>1393794</v>
      </c>
      <c r="F51" s="71">
        <v>106</v>
      </c>
      <c r="G51" s="5">
        <f>VLOOKUP($F51,AF!$B$25:$I$31,4)*$E51</f>
        <v>1367839.2139520566</v>
      </c>
      <c r="H51" s="5">
        <f>VLOOKUP($F51,AF!$B$25:$I$31,5)*$E51</f>
        <v>25954.786047943409</v>
      </c>
      <c r="I51" s="5">
        <f>VLOOKUP($F51,AF!$B$25:$I$31,6)*$E51</f>
        <v>1670.1876427989882</v>
      </c>
      <c r="J51" s="5">
        <f>VLOOKUP($F51,AF!$B$25:$I$31,7)*$E51</f>
        <v>30.635428248475566</v>
      </c>
      <c r="K51" s="5">
        <f>VLOOKUP($F51,AF!$B$25:$I$31,8)*$E51</f>
        <v>24253.962976895942</v>
      </c>
    </row>
    <row r="52" spans="1:11">
      <c r="A52" s="42">
        <f t="shared" si="0"/>
        <v>44</v>
      </c>
      <c r="B52">
        <v>930.1</v>
      </c>
      <c r="C52" s="8" t="s">
        <v>73</v>
      </c>
      <c r="D52" s="8" t="s">
        <v>80</v>
      </c>
      <c r="E52" s="134">
        <v>34134</v>
      </c>
      <c r="F52" s="71">
        <v>106</v>
      </c>
      <c r="G52" s="5">
        <f>VLOOKUP($F52,AF!$B$25:$I$31,4)*$E52</f>
        <v>33498.367570128372</v>
      </c>
      <c r="H52" s="5">
        <f>VLOOKUP($F52,AF!$B$25:$I$31,5)*$E52</f>
        <v>635.63242987163119</v>
      </c>
      <c r="I52" s="5">
        <f>VLOOKUP($F52,AF!$B$25:$I$31,6)*$E52</f>
        <v>40.902877325702839</v>
      </c>
      <c r="J52" s="5">
        <f>VLOOKUP($F52,AF!$B$25:$I$31,7)*$E52</f>
        <v>0.75026130678813729</v>
      </c>
      <c r="K52" s="5">
        <f>VLOOKUP($F52,AF!$B$25:$I$31,8)*$E52</f>
        <v>593.97929123914014</v>
      </c>
    </row>
    <row r="53" spans="1:11">
      <c r="A53" s="42">
        <f t="shared" si="0"/>
        <v>45</v>
      </c>
      <c r="B53">
        <v>930.2</v>
      </c>
      <c r="C53" t="s">
        <v>83</v>
      </c>
      <c r="D53" t="s">
        <v>81</v>
      </c>
      <c r="E53" s="134">
        <v>384223</v>
      </c>
      <c r="F53" s="71">
        <v>106</v>
      </c>
      <c r="G53" s="5">
        <f>VLOOKUP($F53,AF!$B$25:$I$31,4)*$E53</f>
        <v>377068.12219187419</v>
      </c>
      <c r="H53" s="5">
        <f>VLOOKUP($F53,AF!$B$25:$I$31,5)*$E53</f>
        <v>7154.8778081258497</v>
      </c>
      <c r="I53" s="5">
        <f>VLOOKUP($F53,AF!$B$25:$I$31,6)*$E53</f>
        <v>460.41560422785267</v>
      </c>
      <c r="J53" s="5">
        <f>VLOOKUP($F53,AF!$B$25:$I$31,7)*$E53</f>
        <v>8.4451763660297203</v>
      </c>
      <c r="K53" s="5">
        <f>VLOOKUP($F53,AF!$B$25:$I$31,8)*$E53</f>
        <v>6686.0170275319661</v>
      </c>
    </row>
    <row r="54" spans="1:11">
      <c r="A54" s="42">
        <f t="shared" si="0"/>
        <v>46</v>
      </c>
      <c r="B54">
        <v>931</v>
      </c>
      <c r="C54" t="s">
        <v>74</v>
      </c>
      <c r="D54" t="s">
        <v>82</v>
      </c>
      <c r="E54" s="116">
        <v>205345</v>
      </c>
      <c r="F54" s="71">
        <v>106</v>
      </c>
      <c r="G54" s="16">
        <f>VLOOKUP($F54,AF!$B$25:$I$31,4)*$E54</f>
        <v>201521.13109181492</v>
      </c>
      <c r="H54" s="16">
        <f>VLOOKUP($F54,AF!$B$25:$I$31,5)*$E54</f>
        <v>3823.8689081850971</v>
      </c>
      <c r="I54" s="16">
        <f>VLOOKUP($F54,AF!$B$25:$I$31,6)*$E54</f>
        <v>246.06554592038583</v>
      </c>
      <c r="J54" s="16">
        <f>VLOOKUP($F54,AF!$B$25:$I$31,7)*$E54</f>
        <v>4.5134589571222259</v>
      </c>
      <c r="K54" s="16">
        <f>VLOOKUP($F54,AF!$B$25:$I$31,8)*$E54</f>
        <v>3573.2899033075882</v>
      </c>
    </row>
    <row r="55" spans="1:11">
      <c r="A55" s="42">
        <f t="shared" si="0"/>
        <v>47</v>
      </c>
      <c r="C55" t="s">
        <v>2</v>
      </c>
      <c r="E55" s="5">
        <f>SUM(E45:E54)</f>
        <v>10649020</v>
      </c>
      <c r="F55" s="80"/>
      <c r="G55" s="5">
        <f t="shared" ref="G55" si="8">SUM(G45:G54)</f>
        <v>10403550.360650113</v>
      </c>
      <c r="H55" s="5">
        <f t="shared" ref="H55:K55" si="9">SUM(H45:H54)</f>
        <v>245469.63934988854</v>
      </c>
      <c r="I55" s="5">
        <f t="shared" si="9"/>
        <v>13094.25288792147</v>
      </c>
      <c r="J55" s="5">
        <f t="shared" si="9"/>
        <v>556.2278998401008</v>
      </c>
      <c r="K55" s="5">
        <f t="shared" si="9"/>
        <v>231819.15856212701</v>
      </c>
    </row>
    <row r="56" spans="1:11" ht="15.75" thickBot="1">
      <c r="A56" s="42">
        <f t="shared" si="0"/>
        <v>48</v>
      </c>
      <c r="E56" s="17"/>
      <c r="F56" s="71"/>
      <c r="G56" s="33"/>
      <c r="H56" s="33"/>
      <c r="I56" s="33"/>
      <c r="J56" s="33"/>
      <c r="K56" s="33"/>
    </row>
    <row r="57" spans="1:11" ht="15.75" thickTop="1">
      <c r="A57" s="42">
        <f t="shared" si="0"/>
        <v>49</v>
      </c>
      <c r="B57" s="11" t="s">
        <v>85</v>
      </c>
      <c r="C57" s="11"/>
      <c r="E57" s="10">
        <f>+E12+E19+E27+E38+E42+E55+E32</f>
        <v>367398837.72000003</v>
      </c>
      <c r="F57" s="78">
        <f t="shared" ref="F57:K57" si="10">+F12+F19+F27+F38+F42+F55+F32</f>
        <v>0</v>
      </c>
      <c r="G57" s="5">
        <f t="shared" ref="G57" si="11">+G12+G19+G27+G38+G42+G55+G32</f>
        <v>366593546.06046426</v>
      </c>
      <c r="H57" s="5">
        <f t="shared" si="10"/>
        <v>805291.65953573759</v>
      </c>
      <c r="I57" s="5">
        <f t="shared" si="10"/>
        <v>50516.46883066251</v>
      </c>
      <c r="J57" s="5">
        <f t="shared" si="10"/>
        <v>3547.0245623592141</v>
      </c>
      <c r="K57" s="5">
        <f t="shared" si="10"/>
        <v>751228.16614271596</v>
      </c>
    </row>
    <row r="58" spans="1:11">
      <c r="A58" s="42">
        <f t="shared" si="0"/>
        <v>50</v>
      </c>
      <c r="B58" s="12"/>
      <c r="C58" s="12"/>
      <c r="F58" s="71"/>
      <c r="H58" s="5"/>
      <c r="I58" s="5"/>
      <c r="J58" s="5"/>
      <c r="K58" s="5"/>
    </row>
    <row r="59" spans="1:11">
      <c r="A59" s="42">
        <f t="shared" si="0"/>
        <v>51</v>
      </c>
      <c r="B59" s="11" t="s">
        <v>3</v>
      </c>
      <c r="C59" s="11"/>
      <c r="F59" s="71"/>
      <c r="H59" s="5"/>
      <c r="I59" s="5"/>
      <c r="J59" s="5"/>
      <c r="K59" s="5"/>
    </row>
    <row r="60" spans="1:11">
      <c r="A60" s="42">
        <f t="shared" si="0"/>
        <v>52</v>
      </c>
      <c r="C60" t="s">
        <v>181</v>
      </c>
      <c r="D60" t="s">
        <v>182</v>
      </c>
      <c r="E60" s="134">
        <v>149385</v>
      </c>
      <c r="F60" s="71">
        <v>100</v>
      </c>
      <c r="G60" s="5">
        <f>VLOOKUP($F60,AF!$B$25:$I$31,4)*$E60</f>
        <v>149385</v>
      </c>
      <c r="H60" s="5">
        <f>VLOOKUP($F60,AF!$B$25:$I$31,5)*$E60</f>
        <v>0</v>
      </c>
      <c r="I60" s="5">
        <f>VLOOKUP($F60,AF!$B$25:$I$31,6)*$E60</f>
        <v>0</v>
      </c>
      <c r="J60" s="5">
        <f>VLOOKUP($F60,AF!$B$25:$I$31,7)*$E60</f>
        <v>0</v>
      </c>
      <c r="K60" s="5">
        <f>VLOOKUP($F60,AF!$B$25:$I$31,8)*$E60</f>
        <v>0</v>
      </c>
    </row>
    <row r="61" spans="1:11">
      <c r="A61" s="42">
        <f t="shared" si="0"/>
        <v>53</v>
      </c>
      <c r="C61" t="s">
        <v>179</v>
      </c>
      <c r="D61" t="s">
        <v>454</v>
      </c>
      <c r="E61" s="134">
        <v>1293679</v>
      </c>
      <c r="F61" s="110" t="s">
        <v>418</v>
      </c>
      <c r="G61" s="5">
        <f>+E61-H61</f>
        <v>970304.63678375399</v>
      </c>
      <c r="H61" s="5">
        <f>+TransExp!J89</f>
        <v>323374.36321624601</v>
      </c>
      <c r="I61" s="5">
        <f>+TransExp!J16</f>
        <v>92469.95907091847</v>
      </c>
      <c r="J61" s="5">
        <f>+TransExp!J52</f>
        <v>96135.431003922014</v>
      </c>
      <c r="K61" s="5">
        <f>+TransExp!J64</f>
        <v>134768.97314140556</v>
      </c>
    </row>
    <row r="62" spans="1:11">
      <c r="A62" s="42">
        <f t="shared" si="0"/>
        <v>54</v>
      </c>
      <c r="C62" t="s">
        <v>189</v>
      </c>
      <c r="D62" t="s">
        <v>452</v>
      </c>
      <c r="E62" s="134">
        <v>308985</v>
      </c>
      <c r="F62" s="71">
        <v>101</v>
      </c>
      <c r="G62" s="5">
        <f>VLOOKUP($F62,AF!$B$25:$I$31,4)*$E62</f>
        <v>285299.73867595819</v>
      </c>
      <c r="H62" s="5">
        <f>VLOOKUP($F62,AF!$B$25:$I$31,5)*$E62</f>
        <v>23685.26132404181</v>
      </c>
      <c r="I62" s="5">
        <f>VLOOKUP($F62,AF!$B$25:$I$31,6)*$E62</f>
        <v>2153.2055749128922</v>
      </c>
      <c r="J62" s="5">
        <f>VLOOKUP($F62,AF!$B$25:$I$31,7)*$E62</f>
        <v>1076.6027874564461</v>
      </c>
      <c r="K62" s="5">
        <f>VLOOKUP($F62,AF!$B$25:$I$31,8)*$E62</f>
        <v>20455.452961672472</v>
      </c>
    </row>
    <row r="63" spans="1:11">
      <c r="A63" s="42">
        <f t="shared" si="0"/>
        <v>55</v>
      </c>
      <c r="C63" t="s">
        <v>180</v>
      </c>
      <c r="D63" t="s">
        <v>183</v>
      </c>
      <c r="E63" s="116">
        <v>139729</v>
      </c>
      <c r="F63" s="71">
        <v>100</v>
      </c>
      <c r="G63" s="16">
        <f>VLOOKUP($F63,AF!$B$25:$I$31,4)*$E63</f>
        <v>139729</v>
      </c>
      <c r="H63" s="16">
        <f>VLOOKUP($F63,AF!$B$25:$I$31,5)*$E63</f>
        <v>0</v>
      </c>
      <c r="I63" s="16">
        <f>VLOOKUP($F63,AF!$B$25:$I$31,6)*$E63</f>
        <v>0</v>
      </c>
      <c r="J63" s="16">
        <f>VLOOKUP($F63,AF!$B$25:$I$31,7)*$E63</f>
        <v>0</v>
      </c>
      <c r="K63" s="16">
        <f>VLOOKUP($F63,AF!$B$25:$I$31,8)*$E63</f>
        <v>0</v>
      </c>
    </row>
    <row r="64" spans="1:11">
      <c r="A64" s="42">
        <f t="shared" si="0"/>
        <v>56</v>
      </c>
      <c r="C64" t="s">
        <v>2</v>
      </c>
      <c r="E64" s="5">
        <f>SUM(E60:E63)</f>
        <v>1891778</v>
      </c>
      <c r="F64" s="71"/>
      <c r="G64" s="5">
        <f>SUM(G60:G63)</f>
        <v>1544718.3754597122</v>
      </c>
      <c r="H64" s="5">
        <f>SUM(H60:H63)</f>
        <v>347059.62454028783</v>
      </c>
      <c r="I64" s="5">
        <f t="shared" ref="I64:K64" si="12">SUM(I60:I63)</f>
        <v>94623.164645831363</v>
      </c>
      <c r="J64" s="5">
        <f t="shared" si="12"/>
        <v>97212.033791378461</v>
      </c>
      <c r="K64" s="5">
        <f t="shared" si="12"/>
        <v>155224.42610307803</v>
      </c>
    </row>
    <row r="65" spans="1:11">
      <c r="A65" s="42">
        <f t="shared" si="0"/>
        <v>57</v>
      </c>
      <c r="F65" s="71"/>
      <c r="H65" s="5"/>
      <c r="I65" s="5"/>
      <c r="J65" s="5"/>
      <c r="K65" s="5"/>
    </row>
    <row r="66" spans="1:11">
      <c r="A66" s="42">
        <f t="shared" si="0"/>
        <v>58</v>
      </c>
      <c r="B66" s="11" t="s">
        <v>184</v>
      </c>
      <c r="C66" s="11"/>
      <c r="F66" s="71"/>
      <c r="H66" s="5"/>
      <c r="I66" s="5"/>
      <c r="J66" s="5"/>
      <c r="K66" s="5"/>
    </row>
    <row r="67" spans="1:11">
      <c r="A67" s="42">
        <f t="shared" si="0"/>
        <v>59</v>
      </c>
      <c r="C67" s="14" t="s">
        <v>179</v>
      </c>
      <c r="D67" t="s">
        <v>453</v>
      </c>
      <c r="E67" s="134">
        <v>28270.260000000002</v>
      </c>
      <c r="F67" s="110" t="s">
        <v>419</v>
      </c>
      <c r="G67" s="5">
        <f>+E67-H67</f>
        <v>22223.046645383416</v>
      </c>
      <c r="H67" s="5">
        <f>+TransExp!J90</f>
        <v>6047.213354616586</v>
      </c>
      <c r="I67" s="5">
        <f>+TransExp!J17</f>
        <v>5429.7382583892577</v>
      </c>
      <c r="J67" s="5">
        <f>+TransExp!J53</f>
        <v>0</v>
      </c>
      <c r="K67" s="5">
        <f>+TransExp!J65</f>
        <v>617.47509622732844</v>
      </c>
    </row>
    <row r="68" spans="1:11">
      <c r="A68" s="42">
        <f t="shared" si="0"/>
        <v>60</v>
      </c>
      <c r="C68" s="14" t="s">
        <v>115</v>
      </c>
      <c r="D68" t="s">
        <v>452</v>
      </c>
      <c r="E68" s="116">
        <v>530410.74</v>
      </c>
      <c r="F68" s="71">
        <v>100</v>
      </c>
      <c r="G68" s="16">
        <f>VLOOKUP($F68,AF!$B$25:$I$31,4)*$E68</f>
        <v>530410.74</v>
      </c>
      <c r="H68" s="16">
        <f>VLOOKUP($F68,AF!$B$25:$I$31,5)*$E68</f>
        <v>0</v>
      </c>
      <c r="I68" s="16">
        <f>VLOOKUP($F68,AF!$B$25:$I$31,6)*$E68</f>
        <v>0</v>
      </c>
      <c r="J68" s="16">
        <f>VLOOKUP($F68,AF!$B$25:$I$31,7)*$E68</f>
        <v>0</v>
      </c>
      <c r="K68" s="16">
        <f>VLOOKUP($F68,AF!$B$25:$I$31,8)*$E68</f>
        <v>0</v>
      </c>
    </row>
    <row r="69" spans="1:11">
      <c r="A69" s="42">
        <f t="shared" si="0"/>
        <v>61</v>
      </c>
      <c r="C69" s="14" t="s">
        <v>2</v>
      </c>
      <c r="D69" t="s">
        <v>185</v>
      </c>
      <c r="E69" s="10">
        <f>SUM(E67:E68)</f>
        <v>558681</v>
      </c>
      <c r="F69" s="71"/>
      <c r="G69" s="5">
        <f>SUM(G67:G68)</f>
        <v>552633.78664538346</v>
      </c>
      <c r="H69" s="5">
        <f>SUM(H67:H68)</f>
        <v>6047.213354616586</v>
      </c>
      <c r="I69" s="5">
        <f t="shared" ref="I69:K69" si="13">SUM(I67:I68)</f>
        <v>5429.7382583892577</v>
      </c>
      <c r="J69" s="5">
        <f t="shared" si="13"/>
        <v>0</v>
      </c>
      <c r="K69" s="5">
        <f t="shared" si="13"/>
        <v>617.47509622732844</v>
      </c>
    </row>
    <row r="70" spans="1:11" ht="15.75" thickBot="1">
      <c r="A70" s="42">
        <f t="shared" si="0"/>
        <v>62</v>
      </c>
      <c r="F70" s="71"/>
      <c r="G70" s="33"/>
      <c r="H70" s="33"/>
      <c r="I70" s="33"/>
      <c r="J70" s="33"/>
      <c r="K70" s="33"/>
    </row>
    <row r="71" spans="1:11" ht="15.75" thickTop="1">
      <c r="A71" s="42">
        <f t="shared" si="0"/>
        <v>63</v>
      </c>
      <c r="B71" t="s">
        <v>200</v>
      </c>
      <c r="E71" s="10">
        <f>+E57+E64+E69</f>
        <v>369849296.72000003</v>
      </c>
      <c r="F71" s="71"/>
      <c r="G71" s="5">
        <f>+G57+G64+G69</f>
        <v>368690898.22256941</v>
      </c>
      <c r="H71" s="5">
        <f>+H57+H64+H69</f>
        <v>1158398.4974306421</v>
      </c>
      <c r="I71" s="5">
        <f t="shared" ref="I71:K71" si="14">+I57+I64+I69</f>
        <v>150569.37173488314</v>
      </c>
      <c r="J71" s="5">
        <f t="shared" si="14"/>
        <v>100759.05835373768</v>
      </c>
      <c r="K71" s="5">
        <f t="shared" si="14"/>
        <v>907070.06734202139</v>
      </c>
    </row>
    <row r="72" spans="1:11">
      <c r="A72" s="81">
        <f t="shared" si="0"/>
        <v>64</v>
      </c>
      <c r="E72" s="10"/>
      <c r="F72" s="71"/>
      <c r="H72" s="5"/>
      <c r="I72" s="5"/>
      <c r="J72" s="5"/>
      <c r="K72" s="5"/>
    </row>
    <row r="73" spans="1:11">
      <c r="A73" s="81">
        <f t="shared" si="0"/>
        <v>65</v>
      </c>
      <c r="B73" s="6" t="s">
        <v>201</v>
      </c>
      <c r="C73" s="11"/>
      <c r="F73" s="71"/>
      <c r="H73" s="5"/>
      <c r="I73" s="5"/>
      <c r="J73" s="5"/>
      <c r="K73" s="5"/>
    </row>
    <row r="74" spans="1:11">
      <c r="A74" s="81">
        <f t="shared" si="0"/>
        <v>66</v>
      </c>
      <c r="C74" t="s">
        <v>199</v>
      </c>
      <c r="E74" s="138">
        <v>1811108.3299999998</v>
      </c>
      <c r="F74" s="110" t="s">
        <v>420</v>
      </c>
      <c r="G74" s="5">
        <f>+E74-H74</f>
        <v>1324025.1152046365</v>
      </c>
      <c r="H74" s="5">
        <f>+TransExp!J91</f>
        <v>487083.21479536348</v>
      </c>
      <c r="I74" s="5">
        <f>+TransExp!J18</f>
        <v>147699.68872967959</v>
      </c>
      <c r="J74" s="5">
        <f>+TransExp!J54</f>
        <v>195223.53075397841</v>
      </c>
      <c r="K74" s="5">
        <f>+TransExp!J66</f>
        <v>144159.99531170551</v>
      </c>
    </row>
    <row r="75" spans="1:11">
      <c r="A75" s="81">
        <f t="shared" ref="A75:A79" si="15">+A74+1</f>
        <v>67</v>
      </c>
      <c r="C75" t="s">
        <v>202</v>
      </c>
      <c r="E75" s="116">
        <v>165676.67000000016</v>
      </c>
      <c r="F75" s="71">
        <v>100</v>
      </c>
      <c r="G75" s="16">
        <f>VLOOKUP($F75,AF!$B$25:$I$31,4)*$E75</f>
        <v>165676.67000000016</v>
      </c>
      <c r="H75" s="16">
        <f>VLOOKUP($F75,AF!$B$25:$I$31,5)*$E75</f>
        <v>0</v>
      </c>
      <c r="I75" s="16">
        <f>VLOOKUP($F75,AF!$B$25:$I$31,6)*$E75</f>
        <v>0</v>
      </c>
      <c r="J75" s="16">
        <f>VLOOKUP($F75,AF!$B$25:$I$31,7)*$E75</f>
        <v>0</v>
      </c>
      <c r="K75" s="16">
        <f>VLOOKUP($F75,AF!$B$25:$I$31,8)*$E75</f>
        <v>0</v>
      </c>
    </row>
    <row r="76" spans="1:11">
      <c r="A76" s="81">
        <f t="shared" si="15"/>
        <v>68</v>
      </c>
      <c r="C76" t="s">
        <v>2</v>
      </c>
      <c r="E76" s="10">
        <f>SUM(E74:E75)</f>
        <v>1976785</v>
      </c>
      <c r="F76" s="71"/>
      <c r="G76" s="5">
        <f>SUM(G74:G75)</f>
        <v>1489701.7852046366</v>
      </c>
      <c r="H76" s="5">
        <f>SUM(H74:H75)</f>
        <v>487083.21479536348</v>
      </c>
      <c r="I76" s="5">
        <f t="shared" ref="I76:K76" si="16">SUM(I74:I75)</f>
        <v>147699.68872967959</v>
      </c>
      <c r="J76" s="5">
        <f t="shared" si="16"/>
        <v>195223.53075397841</v>
      </c>
      <c r="K76" s="5">
        <f t="shared" si="16"/>
        <v>144159.99531170551</v>
      </c>
    </row>
    <row r="77" spans="1:11">
      <c r="A77" s="81">
        <f t="shared" si="15"/>
        <v>69</v>
      </c>
      <c r="F77" s="71"/>
      <c r="H77" s="5"/>
      <c r="I77" s="5"/>
      <c r="J77" s="5"/>
      <c r="K77" s="5"/>
    </row>
    <row r="78" spans="1:11">
      <c r="A78" s="81">
        <f t="shared" si="15"/>
        <v>70</v>
      </c>
      <c r="B78" s="6" t="s">
        <v>203</v>
      </c>
      <c r="C78" s="6"/>
      <c r="F78" s="71"/>
      <c r="H78" s="5"/>
      <c r="I78" s="5"/>
      <c r="J78" s="5"/>
      <c r="K78" s="5"/>
    </row>
    <row r="79" spans="1:11">
      <c r="A79" s="81">
        <f t="shared" si="15"/>
        <v>71</v>
      </c>
      <c r="C79" t="s">
        <v>2</v>
      </c>
      <c r="E79" s="114">
        <v>22427764</v>
      </c>
      <c r="F79" s="71">
        <v>100</v>
      </c>
      <c r="G79" s="5">
        <f>VLOOKUP($F79,AF!$B$25:$I$31,4)*$E79</f>
        <v>22427764</v>
      </c>
      <c r="H79" s="5">
        <f>VLOOKUP($F79,AF!$B$25:$I$31,5)*$E79</f>
        <v>0</v>
      </c>
      <c r="I79" s="5">
        <f>VLOOKUP($F79,AF!$B$25:$I$31,6)*$E79</f>
        <v>0</v>
      </c>
      <c r="J79" s="5">
        <f>VLOOKUP($F79,AF!$B$25:$I$31,7)*$E79</f>
        <v>0</v>
      </c>
      <c r="K79" s="5">
        <f>VLOOKUP($F79,AF!$B$25:$I$31,8)*$E79</f>
        <v>0</v>
      </c>
    </row>
    <row r="80" spans="1:11" ht="15.75" thickBot="1">
      <c r="F80" s="71"/>
      <c r="G80" s="33"/>
      <c r="H80" s="33"/>
      <c r="I80" s="33"/>
      <c r="J80" s="33"/>
      <c r="K80" s="33"/>
    </row>
    <row r="81" spans="2:11" ht="15.75" thickTop="1">
      <c r="B81" t="s">
        <v>204</v>
      </c>
      <c r="E81" s="10">
        <f>+E71+E76-E79</f>
        <v>349398317.72000003</v>
      </c>
      <c r="F81" s="71"/>
      <c r="G81" s="5">
        <f>+G71+G76-G79</f>
        <v>347752836.00777406</v>
      </c>
      <c r="H81" s="5">
        <f>+H71+H76-H79</f>
        <v>1645481.7122260057</v>
      </c>
      <c r="I81" s="5">
        <f t="shared" ref="I81:K81" si="17">+I71+I76-I79</f>
        <v>298269.06046456273</v>
      </c>
      <c r="J81" s="5">
        <f t="shared" si="17"/>
        <v>295982.58910771611</v>
      </c>
      <c r="K81" s="5">
        <f t="shared" si="17"/>
        <v>1051230.0626537269</v>
      </c>
    </row>
    <row r="82" spans="2:11">
      <c r="F82" s="71"/>
      <c r="H82" s="5"/>
      <c r="I82" s="5"/>
      <c r="J82" s="5"/>
      <c r="K82" s="5"/>
    </row>
    <row r="83" spans="2:11">
      <c r="B83" t="s">
        <v>209</v>
      </c>
      <c r="F83" s="71"/>
      <c r="H83" s="5"/>
      <c r="I83" s="5"/>
      <c r="J83" s="5"/>
      <c r="K83" s="5"/>
    </row>
    <row r="84" spans="2:11">
      <c r="B84" t="s">
        <v>424</v>
      </c>
      <c r="H84" s="5"/>
      <c r="I84" s="5"/>
      <c r="J84" s="5"/>
      <c r="K84" s="5"/>
    </row>
    <row r="85" spans="2:11">
      <c r="B85" s="136">
        <v>1</v>
      </c>
      <c r="C85" t="s">
        <v>425</v>
      </c>
    </row>
    <row r="86" spans="2:11">
      <c r="B86" s="136"/>
      <c r="C86" t="s">
        <v>426</v>
      </c>
      <c r="E86" s="114">
        <v>3561</v>
      </c>
    </row>
    <row r="87" spans="2:11">
      <c r="B87" s="136"/>
      <c r="C87" t="s">
        <v>427</v>
      </c>
      <c r="E87" s="114">
        <v>122657</v>
      </c>
    </row>
    <row r="88" spans="2:11">
      <c r="B88" s="136"/>
      <c r="C88" t="s">
        <v>428</v>
      </c>
      <c r="E88" s="114">
        <v>375935</v>
      </c>
    </row>
    <row r="89" spans="2:11">
      <c r="B89" s="136"/>
      <c r="C89" t="s">
        <v>429</v>
      </c>
      <c r="E89" s="5">
        <f>SUM(E86:E88)</f>
        <v>502153</v>
      </c>
    </row>
    <row r="90" spans="2:11">
      <c r="B90" s="136"/>
      <c r="C90" t="s">
        <v>430</v>
      </c>
      <c r="E90" s="5">
        <f>-E88</f>
        <v>-375935</v>
      </c>
    </row>
    <row r="91" spans="2:11">
      <c r="B91" s="136"/>
      <c r="C91" t="s">
        <v>431</v>
      </c>
      <c r="E91" s="5">
        <f>SUM(E89:E90)</f>
        <v>126218</v>
      </c>
    </row>
    <row r="92" spans="2:11">
      <c r="B92" s="136"/>
    </row>
    <row r="93" spans="2:11">
      <c r="B93" s="136">
        <v>2</v>
      </c>
      <c r="C93" t="s">
        <v>432</v>
      </c>
    </row>
    <row r="94" spans="2:11">
      <c r="B94" s="136"/>
      <c r="C94" t="s">
        <v>427</v>
      </c>
      <c r="E94" s="114">
        <v>600143</v>
      </c>
    </row>
    <row r="95" spans="2:11">
      <c r="B95" s="136"/>
      <c r="C95" t="s">
        <v>428</v>
      </c>
      <c r="E95" s="114">
        <v>12118</v>
      </c>
    </row>
    <row r="96" spans="2:11">
      <c r="B96" s="136"/>
      <c r="C96" t="s">
        <v>433</v>
      </c>
      <c r="E96" s="5">
        <f>SUM(E94:E95)</f>
        <v>612261</v>
      </c>
    </row>
    <row r="97" spans="2:5">
      <c r="B97" s="136"/>
      <c r="C97" t="s">
        <v>434</v>
      </c>
      <c r="E97" s="5">
        <f>-E95</f>
        <v>-12118</v>
      </c>
    </row>
    <row r="98" spans="2:5">
      <c r="B98" s="136"/>
      <c r="C98" t="s">
        <v>431</v>
      </c>
      <c r="E98" s="5">
        <f>SUM(E96:E97)</f>
        <v>600143</v>
      </c>
    </row>
    <row r="99" spans="2:5">
      <c r="B99" s="136"/>
    </row>
    <row r="100" spans="2:5">
      <c r="B100" s="136">
        <v>3</v>
      </c>
      <c r="C100" t="s">
        <v>435</v>
      </c>
    </row>
    <row r="101" spans="2:5">
      <c r="B101" s="136"/>
      <c r="C101" t="s">
        <v>427</v>
      </c>
      <c r="E101" s="114">
        <v>82793</v>
      </c>
    </row>
    <row r="102" spans="2:5">
      <c r="B102" s="136"/>
      <c r="C102" t="s">
        <v>428</v>
      </c>
      <c r="E102" s="114">
        <v>10471</v>
      </c>
    </row>
    <row r="103" spans="2:5">
      <c r="B103" s="136"/>
      <c r="C103" t="s">
        <v>436</v>
      </c>
      <c r="E103" s="5">
        <f>SUM(E101:E102)</f>
        <v>93264</v>
      </c>
    </row>
    <row r="104" spans="2:5">
      <c r="B104" s="136"/>
      <c r="C104" t="s">
        <v>434</v>
      </c>
      <c r="E104" s="5">
        <f>-E102</f>
        <v>-10471</v>
      </c>
    </row>
    <row r="105" spans="2:5">
      <c r="B105" s="136"/>
      <c r="C105" t="s">
        <v>431</v>
      </c>
      <c r="E105" s="5">
        <f>SUM(E103:E104)</f>
        <v>82793</v>
      </c>
    </row>
  </sheetData>
  <mergeCells count="4">
    <mergeCell ref="B1:K1"/>
    <mergeCell ref="B2:K2"/>
    <mergeCell ref="H5:K5"/>
    <mergeCell ref="H6:K6"/>
  </mergeCells>
  <pageMargins left="0.7" right="0.7" top="0.75" bottom="0.75" header="0.3" footer="0.3"/>
  <pageSetup scale="65" orientation="landscape" r:id="rId1"/>
  <headerFooter>
    <oddHeader xml:space="preserve">&amp;RSchedule D1.0
</oddHeader>
    <oddFooter>&amp;R&amp;D</oddFooter>
  </headerFooter>
  <rowBreaks count="2" manualBreakCount="2">
    <brk id="42" max="14" man="1"/>
    <brk id="82" max="14" man="1"/>
  </rowBreaks>
</worksheet>
</file>

<file path=xl/worksheets/sheet6.xml><?xml version="1.0" encoding="utf-8"?>
<worksheet xmlns="http://schemas.openxmlformats.org/spreadsheetml/2006/main" xmlns:r="http://schemas.openxmlformats.org/officeDocument/2006/relationships">
  <sheetPr>
    <tabColor rgb="FF92D050"/>
  </sheetPr>
  <dimension ref="A1:L99"/>
  <sheetViews>
    <sheetView view="pageLayout" topLeftCell="A44" workbookViewId="0">
      <selection activeCell="D7" sqref="D7"/>
    </sheetView>
  </sheetViews>
  <sheetFormatPr defaultRowHeight="15"/>
  <cols>
    <col min="1" max="1" width="5.42578125" customWidth="1"/>
    <col min="2" max="2" width="35.28515625" customWidth="1"/>
    <col min="3" max="3" width="10.7109375" customWidth="1"/>
    <col min="4" max="4" width="13.85546875" customWidth="1"/>
    <col min="5" max="5" width="5.28515625" customWidth="1"/>
    <col min="6" max="7" width="12.7109375" customWidth="1"/>
    <col min="8" max="8" width="14.5703125" customWidth="1"/>
    <col min="9" max="9" width="7" customWidth="1"/>
    <col min="10" max="10" width="14.140625" customWidth="1"/>
    <col min="11" max="11" width="15.140625" customWidth="1"/>
    <col min="12" max="12" width="13.28515625" bestFit="1" customWidth="1"/>
  </cols>
  <sheetData>
    <row r="1" spans="1:12">
      <c r="B1" s="154" t="s">
        <v>30</v>
      </c>
      <c r="C1" s="154"/>
      <c r="D1" s="154"/>
      <c r="E1" s="154"/>
      <c r="F1" s="154"/>
      <c r="G1" s="154"/>
      <c r="H1" s="154"/>
      <c r="I1" s="154"/>
      <c r="J1" s="154"/>
      <c r="K1" s="154"/>
      <c r="L1" s="154"/>
    </row>
    <row r="2" spans="1:12">
      <c r="B2" s="154" t="s">
        <v>423</v>
      </c>
      <c r="C2" s="154"/>
      <c r="D2" s="154"/>
      <c r="E2" s="154"/>
      <c r="F2" s="154"/>
      <c r="G2" s="154"/>
      <c r="H2" s="154"/>
      <c r="I2" s="154"/>
      <c r="J2" s="154"/>
      <c r="K2" s="154"/>
      <c r="L2" s="154"/>
    </row>
    <row r="3" spans="1:12">
      <c r="B3" s="154"/>
      <c r="C3" s="154"/>
      <c r="D3" s="154"/>
      <c r="E3" s="154"/>
      <c r="F3" s="154"/>
      <c r="G3" s="154"/>
      <c r="H3" s="154"/>
      <c r="I3" s="154"/>
      <c r="J3" s="154"/>
      <c r="K3" s="154"/>
      <c r="L3" s="154"/>
    </row>
    <row r="4" spans="1:12">
      <c r="B4" s="135" t="s">
        <v>449</v>
      </c>
      <c r="C4" s="1"/>
      <c r="D4" s="1"/>
      <c r="E4" s="1"/>
      <c r="F4" s="1"/>
      <c r="G4" s="1"/>
      <c r="H4" s="1"/>
      <c r="I4" s="1"/>
      <c r="J4" s="1"/>
      <c r="K4" s="2"/>
    </row>
    <row r="5" spans="1:12">
      <c r="B5" s="69"/>
      <c r="C5" s="69"/>
      <c r="D5" s="69" t="s">
        <v>232</v>
      </c>
      <c r="E5" s="69" t="s">
        <v>233</v>
      </c>
      <c r="F5" s="69" t="s">
        <v>234</v>
      </c>
      <c r="G5" s="69" t="s">
        <v>235</v>
      </c>
      <c r="H5" s="69" t="s">
        <v>236</v>
      </c>
      <c r="I5" s="69" t="s">
        <v>237</v>
      </c>
      <c r="J5" s="69" t="s">
        <v>238</v>
      </c>
      <c r="K5" s="69" t="s">
        <v>239</v>
      </c>
    </row>
    <row r="6" spans="1:12">
      <c r="B6" s="1"/>
      <c r="C6" s="1"/>
      <c r="D6" s="57" t="s">
        <v>2</v>
      </c>
      <c r="E6" s="1" t="s">
        <v>198</v>
      </c>
      <c r="G6" s="57"/>
      <c r="H6" s="57"/>
      <c r="I6" s="61"/>
      <c r="J6" s="58" t="s">
        <v>33</v>
      </c>
      <c r="K6" s="58" t="s">
        <v>33</v>
      </c>
      <c r="L6" s="58"/>
    </row>
    <row r="7" spans="1:12">
      <c r="B7" s="3"/>
      <c r="C7" s="62" t="s">
        <v>1</v>
      </c>
      <c r="D7" s="62"/>
      <c r="E7" s="63" t="s">
        <v>186</v>
      </c>
      <c r="F7" s="13" t="s">
        <v>190</v>
      </c>
      <c r="G7" s="63" t="s">
        <v>33</v>
      </c>
      <c r="H7" s="63" t="s">
        <v>41</v>
      </c>
      <c r="I7" s="62" t="s">
        <v>186</v>
      </c>
      <c r="J7" s="58" t="s">
        <v>40</v>
      </c>
      <c r="K7" s="58" t="s">
        <v>42</v>
      </c>
      <c r="L7" s="58"/>
    </row>
    <row r="8" spans="1:12">
      <c r="C8" s="45" t="s">
        <v>129</v>
      </c>
      <c r="D8" s="45" t="s">
        <v>129</v>
      </c>
      <c r="E8" s="24"/>
      <c r="F8" s="45" t="s">
        <v>129</v>
      </c>
      <c r="G8" s="45" t="s">
        <v>129</v>
      </c>
      <c r="H8" s="45" t="s">
        <v>129</v>
      </c>
      <c r="I8" s="66" t="s">
        <v>32</v>
      </c>
      <c r="J8" s="59" t="s">
        <v>24</v>
      </c>
      <c r="K8" s="59" t="s">
        <v>24</v>
      </c>
      <c r="L8" s="59"/>
    </row>
    <row r="9" spans="1:12">
      <c r="A9" s="56">
        <v>1</v>
      </c>
      <c r="B9" s="60" t="s">
        <v>29</v>
      </c>
      <c r="C9" s="45"/>
      <c r="D9" s="45"/>
      <c r="E9" s="24"/>
      <c r="F9" s="45"/>
      <c r="G9" s="45"/>
      <c r="H9" s="45"/>
      <c r="I9" s="66"/>
      <c r="J9" s="70"/>
      <c r="K9" s="70"/>
      <c r="L9" s="70"/>
    </row>
    <row r="10" spans="1:12">
      <c r="A10" s="56">
        <f>+A9+1</f>
        <v>2</v>
      </c>
      <c r="B10" s="3" t="s">
        <v>392</v>
      </c>
      <c r="C10" s="4">
        <v>561</v>
      </c>
      <c r="D10" s="123">
        <v>0</v>
      </c>
      <c r="E10" s="24">
        <v>1</v>
      </c>
      <c r="F10" s="24">
        <f>VLOOKUP($E10,AF!$B$8:$G$11,4)*$D10</f>
        <v>0</v>
      </c>
      <c r="G10" s="24">
        <f>VLOOKUP($E10,AF!$B$8:$G$11,5)*$D10</f>
        <v>0</v>
      </c>
      <c r="H10" s="24">
        <f>VLOOKUP($E10,AF!$B$8:$G$11,6)*$D10</f>
        <v>0</v>
      </c>
      <c r="I10" s="39">
        <v>11</v>
      </c>
      <c r="J10" s="39">
        <f>VLOOKUP($I10,AF!$B$15:$F$21,4)*TransExp!$G10</f>
        <v>0</v>
      </c>
      <c r="K10" s="39">
        <f>VLOOKUP($I10,AF!$B$15:$F$21,4)*TransExp!$G10</f>
        <v>0</v>
      </c>
      <c r="L10" s="39"/>
    </row>
    <row r="11" spans="1:12">
      <c r="A11" s="56">
        <f t="shared" ref="A11:A73" si="0">+A10+1</f>
        <v>3</v>
      </c>
      <c r="B11" s="3" t="s">
        <v>398</v>
      </c>
      <c r="C11" s="4">
        <v>562</v>
      </c>
      <c r="D11" s="123">
        <f>417484.73-D96</f>
        <v>41550.199999999953</v>
      </c>
      <c r="E11" s="24">
        <v>1</v>
      </c>
      <c r="F11" s="24">
        <f>VLOOKUP($E11,AF!$B$8:$G$11,4)*$D11</f>
        <v>0</v>
      </c>
      <c r="G11" s="24">
        <f>VLOOKUP($E11,AF!$B$8:$G$11,5)*$D11</f>
        <v>15399.877252944314</v>
      </c>
      <c r="H11" s="24">
        <f>VLOOKUP($E11,AF!$B$8:$G$11,6)*$D11</f>
        <v>26150.322747055638</v>
      </c>
      <c r="I11" s="39">
        <v>11</v>
      </c>
      <c r="J11" s="39">
        <f>VLOOKUP($I11,AF!$B$15:$F$21,4)*TransExp!$G11</f>
        <v>1394.1715883245304</v>
      </c>
      <c r="K11" s="39">
        <f>VLOOKUP($I11,AF!$B$15:$F$21,5)*TransExp!$G11</f>
        <v>14005.705664619783</v>
      </c>
      <c r="L11" s="39"/>
    </row>
    <row r="12" spans="1:12">
      <c r="A12" s="56">
        <f t="shared" si="0"/>
        <v>4</v>
      </c>
      <c r="B12" s="3" t="s">
        <v>393</v>
      </c>
      <c r="C12" s="4">
        <v>568</v>
      </c>
      <c r="D12" s="123">
        <v>0</v>
      </c>
      <c r="E12" s="24">
        <v>2</v>
      </c>
      <c r="F12" s="24">
        <f>VLOOKUP($E12,AF!$B$8:$G$11,4)*$D12</f>
        <v>0</v>
      </c>
      <c r="G12" s="24">
        <f>VLOOKUP($E12,AF!$B$8:$G$11,5)*$D12</f>
        <v>0</v>
      </c>
      <c r="H12" s="24">
        <f>VLOOKUP($E12,AF!$B$8:$G$11,6)*$D12</f>
        <v>0</v>
      </c>
      <c r="I12" s="39">
        <v>10</v>
      </c>
      <c r="J12" s="39">
        <f>VLOOKUP($I12,AF!$B$15:$F$21,4)*TransExp!$G12</f>
        <v>0</v>
      </c>
      <c r="K12" s="39">
        <f>VLOOKUP($I12,AF!$B$15:$F$21,5)*TransExp!$G12</f>
        <v>0</v>
      </c>
      <c r="L12" s="39"/>
    </row>
    <row r="13" spans="1:12">
      <c r="A13" s="56">
        <f t="shared" si="0"/>
        <v>5</v>
      </c>
      <c r="B13" s="3" t="s">
        <v>397</v>
      </c>
      <c r="C13" s="4">
        <v>570</v>
      </c>
      <c r="D13" s="123">
        <f>30271.89-D97</f>
        <v>18153.59</v>
      </c>
      <c r="E13" s="24">
        <v>2</v>
      </c>
      <c r="F13" s="24">
        <f>VLOOKUP($E13,AF!$B$8:$G$11,4)*$D13</f>
        <v>0</v>
      </c>
      <c r="G13" s="24">
        <f>VLOOKUP($E13,AF!$B$8:$G$11,5)*$D13</f>
        <v>13557.035600133559</v>
      </c>
      <c r="H13" s="24">
        <f>VLOOKUP($E13,AF!$B$8:$G$11,6)*$D13</f>
        <v>4596.554399866438</v>
      </c>
      <c r="I13" s="39">
        <v>10</v>
      </c>
      <c r="J13" s="39">
        <f>VLOOKUP($I13,AF!$B$15:$F$21,4)*TransExp!$G13</f>
        <v>13557.035600133559</v>
      </c>
      <c r="K13" s="39">
        <f>VLOOKUP($I13,AF!$B$15:$F$21,5)*TransExp!$G13</f>
        <v>0</v>
      </c>
      <c r="L13" s="39"/>
    </row>
    <row r="14" spans="1:12">
      <c r="A14" s="56">
        <f t="shared" si="0"/>
        <v>6</v>
      </c>
      <c r="B14" s="3" t="s">
        <v>394</v>
      </c>
      <c r="C14" s="4">
        <v>571</v>
      </c>
      <c r="D14" s="123">
        <f>33620.05-D98</f>
        <v>23149.93</v>
      </c>
      <c r="E14" s="24">
        <v>2</v>
      </c>
      <c r="F14" s="24">
        <f>VLOOKUP($E14,AF!$B$8:$G$11,4)*$D14</f>
        <v>0</v>
      </c>
      <c r="G14" s="24">
        <f>VLOOKUP($E14,AF!$B$8:$G$11,5)*$D14</f>
        <v>17288.284309087067</v>
      </c>
      <c r="H14" s="24">
        <f>VLOOKUP($E14,AF!$B$8:$G$11,6)*$D14</f>
        <v>5861.6456909129292</v>
      </c>
      <c r="I14" s="39">
        <v>10</v>
      </c>
      <c r="J14" s="39">
        <f>VLOOKUP($I14,AF!$B$15:$F$21,4)*TransExp!$G14</f>
        <v>17288.284309087067</v>
      </c>
      <c r="K14" s="39">
        <f>VLOOKUP($I14,AF!$B$15:$F$21,5)*TransExp!$G14</f>
        <v>0</v>
      </c>
      <c r="L14" s="39"/>
    </row>
    <row r="15" spans="1:12">
      <c r="A15" s="56">
        <f t="shared" si="0"/>
        <v>7</v>
      </c>
      <c r="B15" s="3" t="s">
        <v>6</v>
      </c>
      <c r="C15" s="4">
        <v>924</v>
      </c>
      <c r="D15" s="123">
        <v>6772.67</v>
      </c>
      <c r="E15" s="24">
        <v>2</v>
      </c>
      <c r="F15" s="24">
        <f>VLOOKUP($E15,AF!$B$8:$G$11,4)*$D15</f>
        <v>0</v>
      </c>
      <c r="G15" s="24">
        <f>VLOOKUP($E15,AF!$B$8:$G$11,5)*$D15</f>
        <v>5057.8055523979856</v>
      </c>
      <c r="H15" s="24">
        <f>VLOOKUP($E15,AF!$B$8:$G$11,6)*$D15</f>
        <v>1714.8644476020131</v>
      </c>
      <c r="I15" s="39">
        <v>11</v>
      </c>
      <c r="J15" s="39">
        <f>VLOOKUP($I15,AF!$B$15:$F$21,4)*TransExp!$G15</f>
        <v>457.8899353938134</v>
      </c>
      <c r="K15" s="39">
        <f>VLOOKUP($I15,AF!$B$15:$F$21,5)*TransExp!$G15</f>
        <v>4599.9156170041724</v>
      </c>
      <c r="L15" s="39"/>
    </row>
    <row r="16" spans="1:12">
      <c r="A16" s="56">
        <f t="shared" si="0"/>
        <v>8</v>
      </c>
      <c r="B16" s="3" t="s">
        <v>3</v>
      </c>
      <c r="C16" s="4">
        <v>403</v>
      </c>
      <c r="D16" s="123">
        <v>215088.17</v>
      </c>
      <c r="E16" s="24">
        <v>3</v>
      </c>
      <c r="F16" s="24">
        <f>VLOOKUP($E16,AF!$B$8:$G$11,4)*$D16</f>
        <v>0</v>
      </c>
      <c r="G16" s="24">
        <f>VLOOKUP($E16,AF!$B$8:$G$11,5)*$D16</f>
        <v>124681.08051146501</v>
      </c>
      <c r="H16" s="24">
        <f>VLOOKUP($E16,AF!$B$8:$G$11,6)*$D16</f>
        <v>90407.089488534984</v>
      </c>
      <c r="I16" s="39">
        <v>14</v>
      </c>
      <c r="J16" s="39">
        <f>VLOOKUP($I16,AF!$B$15:$F$21,4)*TransExp!$G16</f>
        <v>92469.95907091847</v>
      </c>
      <c r="K16" s="39">
        <f>VLOOKUP($I16,AF!$B$15:$F$21,5)*TransExp!$G16</f>
        <v>32211.121440546525</v>
      </c>
      <c r="L16" s="39"/>
    </row>
    <row r="17" spans="1:12">
      <c r="A17" s="56">
        <f t="shared" si="0"/>
        <v>9</v>
      </c>
      <c r="B17" s="3" t="s">
        <v>4</v>
      </c>
      <c r="C17" s="4">
        <v>408</v>
      </c>
      <c r="D17" s="123">
        <v>12629.75</v>
      </c>
      <c r="E17" s="24">
        <v>3</v>
      </c>
      <c r="F17" s="24">
        <f>VLOOKUP($E17,AF!$B$8:$G$11,4)*$D17</f>
        <v>0</v>
      </c>
      <c r="G17" s="24">
        <f>VLOOKUP($E17,AF!$B$8:$G$11,5)*$D17</f>
        <v>7321.1412630907371</v>
      </c>
      <c r="H17" s="24">
        <f>VLOOKUP($E17,AF!$B$8:$G$11,6)*$D17</f>
        <v>5308.608736909262</v>
      </c>
      <c r="I17" s="39">
        <v>14</v>
      </c>
      <c r="J17" s="39">
        <f>VLOOKUP($I17,AF!$B$15:$F$21,4)*TransExp!$G17</f>
        <v>5429.7382583892577</v>
      </c>
      <c r="K17" s="39">
        <f>VLOOKUP($I17,AF!$B$15:$F$21,5)*TransExp!$G17</f>
        <v>1891.4030047014787</v>
      </c>
      <c r="L17" s="39"/>
    </row>
    <row r="18" spans="1:12">
      <c r="A18" s="56">
        <f t="shared" si="0"/>
        <v>10</v>
      </c>
      <c r="B18" s="3" t="s">
        <v>5</v>
      </c>
      <c r="C18" s="4">
        <v>427</v>
      </c>
      <c r="D18" s="124">
        <v>343554.34</v>
      </c>
      <c r="E18" s="24">
        <v>3</v>
      </c>
      <c r="F18" s="112">
        <f>VLOOKUP($E18,AF!$B$8:$G$11,4)*$D18</f>
        <v>0</v>
      </c>
      <c r="G18" s="112">
        <f>VLOOKUP($E18,AF!$B$8:$G$11,5)*$D18</f>
        <v>199149.61536751754</v>
      </c>
      <c r="H18" s="112">
        <f>VLOOKUP($E18,AF!$B$8:$G$11,6)*$D18</f>
        <v>144404.72463248245</v>
      </c>
      <c r="I18" s="39">
        <v>14</v>
      </c>
      <c r="J18" s="112">
        <f>VLOOKUP($I18,AF!$B$15:$F$21,4)*TransExp!$G18</f>
        <v>147699.68872967959</v>
      </c>
      <c r="K18" s="112">
        <f>VLOOKUP($I18,AF!$B$15:$F$21,5)*TransExp!$G18</f>
        <v>51449.926637837918</v>
      </c>
      <c r="L18" s="39"/>
    </row>
    <row r="19" spans="1:12">
      <c r="A19" s="56">
        <f t="shared" si="0"/>
        <v>11</v>
      </c>
      <c r="B19" s="3" t="s">
        <v>7</v>
      </c>
      <c r="C19" s="3"/>
      <c r="D19" s="39">
        <f>SUM(D16:D18)</f>
        <v>571272.26</v>
      </c>
      <c r="E19" s="24"/>
      <c r="G19" s="24">
        <f t="shared" ref="G19:H19" si="1">SUM(G16:G18)</f>
        <v>331151.83714207332</v>
      </c>
      <c r="H19" s="24">
        <f t="shared" si="1"/>
        <v>240120.42285792669</v>
      </c>
      <c r="I19" s="39"/>
      <c r="J19" s="39">
        <f>SUM(J10:J18)</f>
        <v>278296.76749192632</v>
      </c>
      <c r="K19" s="39">
        <f>SUM(K10:K18)</f>
        <v>104158.07236470989</v>
      </c>
      <c r="L19" s="39"/>
    </row>
    <row r="20" spans="1:12">
      <c r="A20" s="56">
        <f t="shared" si="0"/>
        <v>12</v>
      </c>
      <c r="B20" s="3"/>
      <c r="C20" s="3"/>
      <c r="D20" s="39"/>
      <c r="E20" s="24"/>
      <c r="F20" s="24"/>
      <c r="G20" s="24"/>
      <c r="H20" s="24"/>
      <c r="I20" s="24"/>
      <c r="J20" s="24"/>
      <c r="K20" s="24"/>
      <c r="L20" s="5"/>
    </row>
    <row r="21" spans="1:12">
      <c r="A21" s="58">
        <f t="shared" si="0"/>
        <v>13</v>
      </c>
      <c r="B21" s="60" t="s">
        <v>28</v>
      </c>
      <c r="C21" s="4"/>
      <c r="D21" s="39"/>
      <c r="E21" s="24"/>
      <c r="F21" s="24"/>
      <c r="G21" s="24"/>
      <c r="H21" s="24"/>
      <c r="I21" s="24"/>
      <c r="J21" s="24"/>
      <c r="K21" s="24"/>
      <c r="L21" s="5"/>
    </row>
    <row r="22" spans="1:12">
      <c r="A22" s="58">
        <f t="shared" si="0"/>
        <v>14</v>
      </c>
      <c r="B22" s="3" t="s">
        <v>392</v>
      </c>
      <c r="C22" s="4">
        <v>561</v>
      </c>
      <c r="D22" s="123">
        <v>0</v>
      </c>
      <c r="E22" s="24"/>
      <c r="F22" s="24"/>
      <c r="G22" s="24"/>
      <c r="H22" s="24">
        <f t="shared" ref="H22:H30" si="2">+D22</f>
        <v>0</v>
      </c>
      <c r="I22" s="24"/>
      <c r="J22" s="39"/>
      <c r="K22" s="39"/>
      <c r="L22" s="5"/>
    </row>
    <row r="23" spans="1:12">
      <c r="A23" s="58">
        <f t="shared" si="0"/>
        <v>15</v>
      </c>
      <c r="B23" s="3" t="s">
        <v>395</v>
      </c>
      <c r="C23" s="4">
        <v>562</v>
      </c>
      <c r="D23" s="123">
        <v>11463.25</v>
      </c>
      <c r="E23" s="24"/>
      <c r="F23" s="24"/>
      <c r="G23" s="24"/>
      <c r="H23" s="24">
        <f t="shared" si="2"/>
        <v>11463.25</v>
      </c>
      <c r="I23" s="24"/>
      <c r="J23" s="39"/>
      <c r="K23" s="39"/>
      <c r="L23" s="5"/>
    </row>
    <row r="24" spans="1:12">
      <c r="A24" s="58">
        <f t="shared" si="0"/>
        <v>16</v>
      </c>
      <c r="B24" s="3" t="s">
        <v>393</v>
      </c>
      <c r="C24" s="4">
        <v>568</v>
      </c>
      <c r="D24" s="123">
        <v>0</v>
      </c>
      <c r="E24" s="24"/>
      <c r="F24" s="24"/>
      <c r="G24" s="24"/>
      <c r="H24" s="24">
        <f t="shared" si="2"/>
        <v>0</v>
      </c>
      <c r="I24" s="24"/>
      <c r="J24" s="39"/>
      <c r="K24" s="39"/>
      <c r="L24" s="5"/>
    </row>
    <row r="25" spans="1:12">
      <c r="A25" s="58">
        <f t="shared" si="0"/>
        <v>17</v>
      </c>
      <c r="B25" s="3" t="s">
        <v>399</v>
      </c>
      <c r="C25" s="4">
        <v>570</v>
      </c>
      <c r="D25" s="123">
        <v>910.49</v>
      </c>
      <c r="E25" s="24"/>
      <c r="F25" s="24"/>
      <c r="G25" s="24"/>
      <c r="H25" s="24">
        <f t="shared" si="2"/>
        <v>910.49</v>
      </c>
      <c r="I25" s="24"/>
      <c r="J25" s="39"/>
      <c r="K25" s="39"/>
      <c r="L25" s="5"/>
    </row>
    <row r="26" spans="1:12">
      <c r="A26" s="58">
        <f t="shared" si="0"/>
        <v>18</v>
      </c>
      <c r="B26" s="3" t="s">
        <v>396</v>
      </c>
      <c r="C26" s="4">
        <v>571</v>
      </c>
      <c r="D26" s="123">
        <v>41865.019999999997</v>
      </c>
      <c r="E26" s="24"/>
      <c r="F26" s="24"/>
      <c r="G26" s="24"/>
      <c r="H26" s="24">
        <f t="shared" si="2"/>
        <v>41865.019999999997</v>
      </c>
      <c r="I26" s="24"/>
      <c r="J26" s="39"/>
      <c r="K26" s="39"/>
      <c r="L26" s="5"/>
    </row>
    <row r="27" spans="1:12">
      <c r="A27" s="58">
        <f t="shared" si="0"/>
        <v>19</v>
      </c>
      <c r="B27" s="3" t="s">
        <v>6</v>
      </c>
      <c r="C27" s="4">
        <v>924</v>
      </c>
      <c r="D27" s="123">
        <v>1192.69</v>
      </c>
      <c r="E27" s="24"/>
      <c r="F27" s="24"/>
      <c r="G27" s="24"/>
      <c r="H27" s="24">
        <f t="shared" si="2"/>
        <v>1192.69</v>
      </c>
      <c r="I27" s="24"/>
      <c r="J27" s="39"/>
      <c r="K27" s="39"/>
      <c r="L27" s="5"/>
    </row>
    <row r="28" spans="1:12">
      <c r="A28" s="58">
        <f t="shared" si="0"/>
        <v>20</v>
      </c>
      <c r="B28" s="3" t="s">
        <v>3</v>
      </c>
      <c r="C28" s="4">
        <v>403</v>
      </c>
      <c r="D28" s="123">
        <v>33857.21</v>
      </c>
      <c r="E28" s="24"/>
      <c r="F28" s="24"/>
      <c r="G28" s="24"/>
      <c r="H28" s="24">
        <f t="shared" si="2"/>
        <v>33857.21</v>
      </c>
      <c r="I28" s="24"/>
      <c r="J28" s="39"/>
      <c r="K28" s="39"/>
      <c r="L28" s="5"/>
    </row>
    <row r="29" spans="1:12">
      <c r="A29" s="58">
        <f t="shared" si="0"/>
        <v>21</v>
      </c>
      <c r="B29" s="3" t="s">
        <v>4</v>
      </c>
      <c r="C29" s="4">
        <v>408</v>
      </c>
      <c r="D29" s="123">
        <v>3401.48</v>
      </c>
      <c r="E29" s="24"/>
      <c r="F29" s="24"/>
      <c r="G29" s="24"/>
      <c r="H29" s="24">
        <f t="shared" si="2"/>
        <v>3401.48</v>
      </c>
      <c r="I29" s="24"/>
      <c r="J29" s="39"/>
      <c r="K29" s="39"/>
      <c r="L29" s="5"/>
    </row>
    <row r="30" spans="1:12">
      <c r="A30" s="58">
        <f t="shared" si="0"/>
        <v>22</v>
      </c>
      <c r="B30" s="3" t="s">
        <v>5</v>
      </c>
      <c r="C30" s="4">
        <v>427</v>
      </c>
      <c r="D30" s="124">
        <v>34697.760000000002</v>
      </c>
      <c r="E30" s="24"/>
      <c r="F30" s="112"/>
      <c r="G30" s="112"/>
      <c r="H30" s="112">
        <f t="shared" si="2"/>
        <v>34697.760000000002</v>
      </c>
      <c r="I30" s="24"/>
      <c r="J30" s="112"/>
      <c r="K30" s="112"/>
      <c r="L30" s="5"/>
    </row>
    <row r="31" spans="1:12">
      <c r="A31" s="58">
        <f t="shared" si="0"/>
        <v>23</v>
      </c>
      <c r="B31" s="3" t="s">
        <v>7</v>
      </c>
      <c r="C31" s="3"/>
      <c r="D31" s="39">
        <f>SUM(D22:D30)</f>
        <v>127387.9</v>
      </c>
      <c r="E31" s="24"/>
      <c r="F31" s="24"/>
      <c r="G31" s="24"/>
      <c r="H31" s="24">
        <f>SUM(H22:H30)</f>
        <v>127387.9</v>
      </c>
      <c r="I31" s="24"/>
      <c r="J31" s="24">
        <f>SUM(J22:J30)</f>
        <v>0</v>
      </c>
      <c r="K31" s="24">
        <f>SUM(K22:K30)</f>
        <v>0</v>
      </c>
      <c r="L31" s="5"/>
    </row>
    <row r="32" spans="1:12">
      <c r="A32" s="58">
        <f t="shared" si="0"/>
        <v>24</v>
      </c>
      <c r="B32" s="3"/>
      <c r="C32" s="3"/>
      <c r="D32" s="39"/>
      <c r="E32" s="24"/>
      <c r="F32" s="24"/>
      <c r="G32" s="24"/>
      <c r="H32" s="24"/>
      <c r="I32" s="24"/>
      <c r="J32" s="24"/>
      <c r="K32" s="24"/>
      <c r="L32" s="5"/>
    </row>
    <row r="33" spans="1:12">
      <c r="A33" s="58">
        <f t="shared" si="0"/>
        <v>25</v>
      </c>
      <c r="B33" s="60" t="s">
        <v>27</v>
      </c>
      <c r="C33" s="4"/>
      <c r="D33" s="39"/>
      <c r="E33" s="24"/>
      <c r="F33" s="24"/>
      <c r="G33" s="24"/>
      <c r="H33" s="24"/>
      <c r="I33" s="24"/>
      <c r="J33" s="24"/>
      <c r="K33" s="24"/>
      <c r="L33" s="5"/>
    </row>
    <row r="34" spans="1:12">
      <c r="A34" s="58">
        <f t="shared" si="0"/>
        <v>26</v>
      </c>
      <c r="B34" s="3" t="s">
        <v>392</v>
      </c>
      <c r="C34" s="4">
        <v>561</v>
      </c>
      <c r="D34" s="123">
        <v>0</v>
      </c>
      <c r="E34" s="24"/>
      <c r="F34" s="24"/>
      <c r="G34" s="24"/>
      <c r="H34" s="24">
        <f>+D34</f>
        <v>0</v>
      </c>
      <c r="I34" s="24"/>
      <c r="J34" s="39"/>
      <c r="K34" s="39"/>
      <c r="L34" s="5"/>
    </row>
    <row r="35" spans="1:12">
      <c r="A35" s="58">
        <f t="shared" si="0"/>
        <v>27</v>
      </c>
      <c r="B35" s="3" t="s">
        <v>395</v>
      </c>
      <c r="C35" s="4">
        <v>562</v>
      </c>
      <c r="D35" s="123">
        <v>0</v>
      </c>
      <c r="E35" s="24"/>
      <c r="F35" s="24"/>
      <c r="G35" s="24"/>
      <c r="H35" s="24">
        <f>+D35</f>
        <v>0</v>
      </c>
      <c r="I35" s="24"/>
      <c r="J35" s="39"/>
      <c r="K35" s="39"/>
      <c r="L35" s="5"/>
    </row>
    <row r="36" spans="1:12">
      <c r="A36" s="58">
        <f t="shared" si="0"/>
        <v>28</v>
      </c>
      <c r="B36" s="3" t="s">
        <v>393</v>
      </c>
      <c r="C36" s="4">
        <v>568</v>
      </c>
      <c r="D36" s="123">
        <v>0</v>
      </c>
      <c r="E36" s="24"/>
      <c r="F36" s="24"/>
      <c r="G36" s="24"/>
      <c r="H36" s="24">
        <f>+D36</f>
        <v>0</v>
      </c>
      <c r="I36" s="24"/>
      <c r="J36" s="39"/>
      <c r="K36" s="39"/>
      <c r="L36" s="5"/>
    </row>
    <row r="37" spans="1:12">
      <c r="A37" s="58">
        <f t="shared" si="0"/>
        <v>29</v>
      </c>
      <c r="B37" s="3" t="s">
        <v>399</v>
      </c>
      <c r="C37" s="4">
        <v>570</v>
      </c>
      <c r="D37" s="123">
        <v>137634.04999999999</v>
      </c>
      <c r="E37" s="24"/>
      <c r="F37" s="24"/>
      <c r="G37" s="24"/>
      <c r="H37" s="24">
        <f>+D37</f>
        <v>137634.04999999999</v>
      </c>
      <c r="I37" s="24"/>
      <c r="J37" s="39"/>
      <c r="K37" s="39"/>
      <c r="L37" s="5"/>
    </row>
    <row r="38" spans="1:12">
      <c r="A38" s="58">
        <f t="shared" si="0"/>
        <v>30</v>
      </c>
      <c r="B38" s="3" t="s">
        <v>396</v>
      </c>
      <c r="C38" s="4">
        <v>571</v>
      </c>
      <c r="D38" s="123">
        <v>0</v>
      </c>
      <c r="E38" s="24"/>
      <c r="F38" s="24"/>
      <c r="G38" s="24"/>
      <c r="H38" s="24">
        <f t="shared" ref="H38:H42" si="3">+D38</f>
        <v>0</v>
      </c>
      <c r="I38" s="24"/>
      <c r="J38" s="39"/>
      <c r="K38" s="39"/>
      <c r="L38" s="5"/>
    </row>
    <row r="39" spans="1:12">
      <c r="A39" s="58">
        <f t="shared" si="0"/>
        <v>31</v>
      </c>
      <c r="B39" s="3" t="s">
        <v>6</v>
      </c>
      <c r="C39" s="4">
        <v>924</v>
      </c>
      <c r="D39" s="123">
        <v>27107.65</v>
      </c>
      <c r="E39" s="24"/>
      <c r="F39" s="24"/>
      <c r="G39" s="24"/>
      <c r="H39" s="24">
        <f t="shared" si="3"/>
        <v>27107.65</v>
      </c>
      <c r="I39" s="24"/>
      <c r="J39" s="39"/>
      <c r="K39" s="39"/>
      <c r="L39" s="5"/>
    </row>
    <row r="40" spans="1:12">
      <c r="A40" s="58">
        <f t="shared" si="0"/>
        <v>32</v>
      </c>
      <c r="B40" s="3" t="s">
        <v>3</v>
      </c>
      <c r="C40" s="4">
        <v>403</v>
      </c>
      <c r="D40" s="123">
        <v>218848.77</v>
      </c>
      <c r="E40" s="24"/>
      <c r="F40" s="24"/>
      <c r="G40" s="24"/>
      <c r="H40" s="24">
        <f t="shared" si="3"/>
        <v>218848.77</v>
      </c>
      <c r="I40" s="24"/>
      <c r="J40" s="39"/>
      <c r="K40" s="39"/>
      <c r="L40" s="5"/>
    </row>
    <row r="41" spans="1:12">
      <c r="A41" s="58">
        <f t="shared" si="0"/>
        <v>33</v>
      </c>
      <c r="B41" s="3" t="s">
        <v>4</v>
      </c>
      <c r="C41" s="4">
        <v>408</v>
      </c>
      <c r="D41" s="123">
        <v>9192.99</v>
      </c>
      <c r="E41" s="24"/>
      <c r="F41" s="24"/>
      <c r="G41" s="24"/>
      <c r="H41" s="24">
        <f t="shared" si="3"/>
        <v>9192.99</v>
      </c>
      <c r="I41" s="24"/>
      <c r="J41" s="39"/>
      <c r="K41" s="39"/>
      <c r="L41" s="5"/>
    </row>
    <row r="42" spans="1:12">
      <c r="A42" s="58">
        <f t="shared" si="0"/>
        <v>34</v>
      </c>
      <c r="B42" s="3" t="s">
        <v>5</v>
      </c>
      <c r="C42" s="4">
        <v>427</v>
      </c>
      <c r="D42" s="124">
        <v>394636.57</v>
      </c>
      <c r="E42" s="24"/>
      <c r="F42" s="112"/>
      <c r="G42" s="112"/>
      <c r="H42" s="112">
        <f t="shared" si="3"/>
        <v>394636.57</v>
      </c>
      <c r="I42" s="24"/>
      <c r="J42" s="112"/>
      <c r="K42" s="112"/>
      <c r="L42" s="5"/>
    </row>
    <row r="43" spans="1:12">
      <c r="A43" s="58">
        <f t="shared" si="0"/>
        <v>35</v>
      </c>
      <c r="B43" s="3" t="s">
        <v>7</v>
      </c>
      <c r="C43" s="3"/>
      <c r="D43" s="39">
        <f>SUM(D34:D42)</f>
        <v>787420.03</v>
      </c>
      <c r="E43" s="24"/>
      <c r="F43" s="24"/>
      <c r="G43" s="24"/>
      <c r="H43" s="24">
        <f>SUM(H34:H42)</f>
        <v>787420.03</v>
      </c>
      <c r="I43" s="24"/>
      <c r="J43" s="24">
        <f>SUM(J34:J42)</f>
        <v>0</v>
      </c>
      <c r="K43" s="24">
        <f>SUM(K34:K42)</f>
        <v>0</v>
      </c>
      <c r="L43" s="5"/>
    </row>
    <row r="44" spans="1:12">
      <c r="A44" s="58">
        <f t="shared" si="0"/>
        <v>36</v>
      </c>
      <c r="B44" s="3"/>
      <c r="C44" s="3"/>
      <c r="D44" s="39"/>
      <c r="E44" s="24"/>
      <c r="F44" s="24"/>
      <c r="G44" s="24"/>
      <c r="H44" s="24"/>
      <c r="I44" s="24"/>
      <c r="J44" s="24"/>
      <c r="K44" s="24"/>
      <c r="L44" s="5"/>
    </row>
    <row r="45" spans="1:12">
      <c r="A45" s="58">
        <f t="shared" si="0"/>
        <v>37</v>
      </c>
      <c r="B45" s="60" t="s">
        <v>26</v>
      </c>
      <c r="C45" s="4"/>
      <c r="D45" s="39"/>
      <c r="E45" s="24"/>
      <c r="F45" s="24"/>
      <c r="G45" s="24"/>
      <c r="H45" s="24"/>
      <c r="I45" s="24"/>
      <c r="J45" s="24"/>
      <c r="K45" s="24"/>
      <c r="L45" s="5"/>
    </row>
    <row r="46" spans="1:12">
      <c r="A46" s="58">
        <f t="shared" si="0"/>
        <v>38</v>
      </c>
      <c r="B46" s="3" t="s">
        <v>392</v>
      </c>
      <c r="C46" s="4">
        <v>561</v>
      </c>
      <c r="D46" s="123">
        <v>0</v>
      </c>
      <c r="E46" s="24"/>
      <c r="F46" s="24"/>
      <c r="G46" s="24">
        <f t="shared" ref="G46:G53" si="4">+D46</f>
        <v>0</v>
      </c>
      <c r="I46" s="24">
        <v>12</v>
      </c>
      <c r="J46" s="39">
        <f>VLOOKUP($I46,AF!$B$15:$F$21,4)*TransExp!$G46</f>
        <v>0</v>
      </c>
      <c r="K46" s="39">
        <f>VLOOKUP($I46,AF!$B$15:$F$21,5)*TransExp!$G46</f>
        <v>0</v>
      </c>
      <c r="L46" s="5"/>
    </row>
    <row r="47" spans="1:12">
      <c r="A47" s="58">
        <f t="shared" si="0"/>
        <v>39</v>
      </c>
      <c r="B47" s="3" t="s">
        <v>395</v>
      </c>
      <c r="C47" s="4">
        <v>562</v>
      </c>
      <c r="D47" s="123">
        <v>6400</v>
      </c>
      <c r="E47" s="24"/>
      <c r="F47" s="24"/>
      <c r="G47" s="24">
        <f t="shared" si="4"/>
        <v>6400</v>
      </c>
      <c r="I47" s="24">
        <v>12</v>
      </c>
      <c r="J47" s="39">
        <f>VLOOKUP($I47,AF!$B$15:$F$21,4)*TransExp!$G47</f>
        <v>579.40060292175758</v>
      </c>
      <c r="K47" s="39">
        <f>VLOOKUP($I47,AF!$B$15:$F$21,5)*TransExp!$G47</f>
        <v>5820.599397078242</v>
      </c>
      <c r="L47" s="5"/>
    </row>
    <row r="48" spans="1:12">
      <c r="A48" s="58">
        <f t="shared" si="0"/>
        <v>40</v>
      </c>
      <c r="B48" s="3" t="s">
        <v>393</v>
      </c>
      <c r="C48" s="4">
        <v>568</v>
      </c>
      <c r="D48" s="123">
        <v>0</v>
      </c>
      <c r="E48" s="24"/>
      <c r="F48" s="24"/>
      <c r="G48" s="24">
        <f t="shared" si="4"/>
        <v>0</v>
      </c>
      <c r="I48" s="24">
        <v>10</v>
      </c>
      <c r="J48" s="39">
        <f>VLOOKUP($I48,AF!$B$15:$F$21,4)*TransExp!$G48</f>
        <v>0</v>
      </c>
      <c r="K48" s="39">
        <f>VLOOKUP($I48,AF!$B$15:$F$21,5)*TransExp!$G48</f>
        <v>0</v>
      </c>
      <c r="L48" s="5"/>
    </row>
    <row r="49" spans="1:12">
      <c r="A49" s="58">
        <f t="shared" si="0"/>
        <v>41</v>
      </c>
      <c r="B49" s="3" t="s">
        <v>399</v>
      </c>
      <c r="C49" s="4">
        <v>570</v>
      </c>
      <c r="D49" s="123">
        <v>0</v>
      </c>
      <c r="E49" s="24"/>
      <c r="F49" s="24"/>
      <c r="G49" s="24">
        <f t="shared" si="4"/>
        <v>0</v>
      </c>
      <c r="I49" s="24">
        <v>10</v>
      </c>
      <c r="J49" s="39">
        <f>VLOOKUP($I49,AF!$B$15:$F$21,4)*TransExp!$G49</f>
        <v>0</v>
      </c>
      <c r="K49" s="39">
        <f>VLOOKUP($I49,AF!$B$15:$F$21,5)*TransExp!$G49</f>
        <v>0</v>
      </c>
      <c r="L49" s="5"/>
    </row>
    <row r="50" spans="1:12">
      <c r="A50" s="58">
        <f t="shared" si="0"/>
        <v>42</v>
      </c>
      <c r="B50" s="3" t="s">
        <v>396</v>
      </c>
      <c r="C50" s="4">
        <v>571</v>
      </c>
      <c r="D50" s="123">
        <v>0</v>
      </c>
      <c r="E50" s="24"/>
      <c r="F50" s="24"/>
      <c r="G50" s="24">
        <f t="shared" si="4"/>
        <v>0</v>
      </c>
      <c r="I50" s="24">
        <v>10</v>
      </c>
      <c r="J50" s="39">
        <f>VLOOKUP($I50,AF!$B$15:$F$21,4)*TransExp!$G50</f>
        <v>0</v>
      </c>
      <c r="K50" s="39">
        <f>VLOOKUP($I50,AF!$B$15:$F$21,5)*TransExp!$G50</f>
        <v>0</v>
      </c>
      <c r="L50" s="5"/>
    </row>
    <row r="51" spans="1:12">
      <c r="A51" s="58">
        <f t="shared" si="0"/>
        <v>43</v>
      </c>
      <c r="B51" s="3" t="s">
        <v>6</v>
      </c>
      <c r="C51" s="4">
        <v>924</v>
      </c>
      <c r="D51" s="123">
        <v>3583.79</v>
      </c>
      <c r="E51" s="24"/>
      <c r="F51" s="24"/>
      <c r="G51" s="24">
        <f t="shared" si="4"/>
        <v>3583.79</v>
      </c>
      <c r="I51" s="24">
        <v>12</v>
      </c>
      <c r="J51" s="39">
        <f>VLOOKUP($I51,AF!$B$15:$F$21,4)*TransExp!$G51</f>
        <v>324.44532605390083</v>
      </c>
      <c r="K51" s="39">
        <f>VLOOKUP($I51,AF!$B$15:$F$21,5)*TransExp!$G51</f>
        <v>3259.3446739460992</v>
      </c>
      <c r="L51" s="5"/>
    </row>
    <row r="52" spans="1:12">
      <c r="A52" s="58">
        <f t="shared" si="0"/>
        <v>44</v>
      </c>
      <c r="B52" s="3" t="s">
        <v>3</v>
      </c>
      <c r="C52" s="4">
        <v>403</v>
      </c>
      <c r="D52" s="123">
        <v>161061.68</v>
      </c>
      <c r="E52" s="24"/>
      <c r="F52" s="24"/>
      <c r="G52" s="24">
        <f t="shared" si="4"/>
        <v>161061.68</v>
      </c>
      <c r="I52" s="24">
        <v>15</v>
      </c>
      <c r="J52" s="39">
        <f>VLOOKUP($I52,AF!$B$15:$F$21,4)*TransExp!$G52</f>
        <v>96135.431003922014</v>
      </c>
      <c r="K52" s="39">
        <f>VLOOKUP($I52,AF!$B$15:$F$21,5)*TransExp!$G52</f>
        <v>64926.248996077979</v>
      </c>
      <c r="L52" s="5"/>
    </row>
    <row r="53" spans="1:12">
      <c r="A53" s="58">
        <f t="shared" si="0"/>
        <v>45</v>
      </c>
      <c r="B53" s="3" t="s">
        <v>4</v>
      </c>
      <c r="C53" s="4">
        <v>408</v>
      </c>
      <c r="D53" s="123">
        <v>0</v>
      </c>
      <c r="E53" s="24"/>
      <c r="F53" s="24"/>
      <c r="G53" s="24">
        <f t="shared" si="4"/>
        <v>0</v>
      </c>
      <c r="I53" s="24">
        <v>15</v>
      </c>
      <c r="J53" s="39">
        <f>VLOOKUP($I53,AF!$B$15:$F$21,4)*TransExp!$G53</f>
        <v>0</v>
      </c>
      <c r="K53" s="39">
        <f>VLOOKUP($I53,AF!$B$15:$F$21,5)*TransExp!$G53</f>
        <v>0</v>
      </c>
      <c r="L53" s="5"/>
    </row>
    <row r="54" spans="1:12">
      <c r="A54" s="58">
        <f t="shared" si="0"/>
        <v>46</v>
      </c>
      <c r="B54" s="3" t="s">
        <v>5</v>
      </c>
      <c r="C54" s="4">
        <v>427</v>
      </c>
      <c r="D54" s="124">
        <v>327070.15000000002</v>
      </c>
      <c r="E54" s="24"/>
      <c r="F54" s="112"/>
      <c r="G54" s="112">
        <f>+D54</f>
        <v>327070.15000000002</v>
      </c>
      <c r="I54" s="24">
        <v>15</v>
      </c>
      <c r="J54" s="112">
        <f>VLOOKUP($I54,AF!$B$15:$F$21,4)*TransExp!$G54</f>
        <v>195223.53075397841</v>
      </c>
      <c r="K54" s="112">
        <f>VLOOKUP($I54,AF!$B$15:$F$21,5)*TransExp!$G54</f>
        <v>131846.61924602164</v>
      </c>
      <c r="L54" s="5"/>
    </row>
    <row r="55" spans="1:12">
      <c r="A55" s="58">
        <f t="shared" si="0"/>
        <v>47</v>
      </c>
      <c r="B55" s="3" t="s">
        <v>7</v>
      </c>
      <c r="C55" s="3"/>
      <c r="D55" s="39">
        <f>SUM(D46:D54)</f>
        <v>498115.62</v>
      </c>
      <c r="E55" s="24"/>
      <c r="F55" s="24"/>
      <c r="G55" s="39">
        <f>SUM(G46:G54)</f>
        <v>498115.62</v>
      </c>
      <c r="H55" s="24"/>
      <c r="I55" s="24"/>
      <c r="J55" s="24">
        <f>SUM(J46:J54)</f>
        <v>292262.8076868761</v>
      </c>
      <c r="K55" s="24">
        <f>SUM(K46:K54)</f>
        <v>205852.81231312396</v>
      </c>
      <c r="L55" s="5"/>
    </row>
    <row r="56" spans="1:12">
      <c r="A56" s="58">
        <f t="shared" si="0"/>
        <v>48</v>
      </c>
      <c r="B56" s="3"/>
      <c r="C56" s="3"/>
      <c r="D56" s="39"/>
      <c r="E56" s="24"/>
      <c r="F56" s="24"/>
      <c r="G56" s="24"/>
      <c r="H56" s="24"/>
      <c r="I56" s="24"/>
      <c r="J56" s="24"/>
      <c r="K56" s="24"/>
      <c r="L56" s="5"/>
    </row>
    <row r="57" spans="1:12">
      <c r="A57" s="58">
        <f t="shared" si="0"/>
        <v>49</v>
      </c>
      <c r="B57" s="60" t="s">
        <v>43</v>
      </c>
      <c r="C57" s="4"/>
      <c r="D57" s="39"/>
      <c r="E57" s="24"/>
      <c r="F57" s="24"/>
      <c r="G57" s="24"/>
      <c r="H57" s="24"/>
      <c r="I57" s="24"/>
      <c r="J57" s="24"/>
      <c r="K57" s="24"/>
      <c r="L57" s="5"/>
    </row>
    <row r="58" spans="1:12">
      <c r="A58" s="58">
        <f t="shared" si="0"/>
        <v>50</v>
      </c>
      <c r="B58" s="3" t="s">
        <v>392</v>
      </c>
      <c r="C58" s="4">
        <v>561</v>
      </c>
      <c r="D58" s="123">
        <v>14881.34</v>
      </c>
      <c r="E58" s="24"/>
      <c r="F58" s="24"/>
      <c r="G58" s="24">
        <f>+D58</f>
        <v>14881.34</v>
      </c>
      <c r="H58" s="24"/>
      <c r="I58" s="24">
        <v>13</v>
      </c>
      <c r="J58" s="39">
        <f>VLOOKUP($I58,AF!$B$15:$F$21,4)*TransExp!$G58</f>
        <v>1347.2277137943231</v>
      </c>
      <c r="K58" s="39">
        <f>VLOOKUP($I58,AF!$B$15:$F$21,5)*TransExp!$G58</f>
        <v>13534.112286205676</v>
      </c>
      <c r="L58" s="5"/>
    </row>
    <row r="59" spans="1:12">
      <c r="A59" s="58">
        <f t="shared" si="0"/>
        <v>51</v>
      </c>
      <c r="B59" s="3" t="s">
        <v>395</v>
      </c>
      <c r="C59" s="4">
        <v>562</v>
      </c>
      <c r="D59" s="123">
        <v>63243.99</v>
      </c>
      <c r="E59" s="24"/>
      <c r="F59" s="24"/>
      <c r="G59" s="24">
        <f t="shared" ref="G59:G65" si="5">+D59</f>
        <v>63243.99</v>
      </c>
      <c r="H59" s="24"/>
      <c r="I59" s="24">
        <v>13</v>
      </c>
      <c r="J59" s="39">
        <f>VLOOKUP($I59,AF!$B$15:$F$21,4)*TransExp!$G59</f>
        <v>5725.563427684001</v>
      </c>
      <c r="K59" s="39">
        <f>VLOOKUP($I59,AF!$B$15:$F$21,5)*TransExp!$G59</f>
        <v>57518.426572315999</v>
      </c>
      <c r="L59" s="5"/>
    </row>
    <row r="60" spans="1:12">
      <c r="A60" s="58">
        <f t="shared" si="0"/>
        <v>52</v>
      </c>
      <c r="B60" s="3" t="s">
        <v>393</v>
      </c>
      <c r="C60" s="4">
        <v>568</v>
      </c>
      <c r="D60" s="123">
        <v>0</v>
      </c>
      <c r="E60" s="24"/>
      <c r="F60" s="24"/>
      <c r="G60" s="24">
        <f t="shared" si="5"/>
        <v>0</v>
      </c>
      <c r="H60" s="24"/>
      <c r="I60" s="24">
        <v>10</v>
      </c>
      <c r="J60" s="39">
        <f>VLOOKUP($I60,AF!$B$15:$F$21,4)*TransExp!$G60</f>
        <v>0</v>
      </c>
      <c r="K60" s="39">
        <f>VLOOKUP($I60,AF!$B$15:$F$21,5)*TransExp!$G60</f>
        <v>0</v>
      </c>
      <c r="L60" s="5"/>
    </row>
    <row r="61" spans="1:12">
      <c r="A61" s="58">
        <f t="shared" si="0"/>
        <v>53</v>
      </c>
      <c r="B61" s="3" t="s">
        <v>399</v>
      </c>
      <c r="C61" s="4">
        <v>570</v>
      </c>
      <c r="D61" s="123">
        <v>443444.96</v>
      </c>
      <c r="E61" s="24"/>
      <c r="F61" s="24"/>
      <c r="G61" s="24">
        <f t="shared" si="5"/>
        <v>443444.96</v>
      </c>
      <c r="H61" s="24"/>
      <c r="I61" s="24">
        <v>10</v>
      </c>
      <c r="J61" s="39">
        <f>VLOOKUP($I61,AF!$B$15:$F$21,4)*TransExp!$G61</f>
        <v>443444.96</v>
      </c>
      <c r="K61" s="39">
        <f>VLOOKUP($I61,AF!$B$15:$F$21,5)*TransExp!$G61</f>
        <v>0</v>
      </c>
      <c r="L61" s="5"/>
    </row>
    <row r="62" spans="1:12">
      <c r="A62" s="58">
        <f t="shared" si="0"/>
        <v>54</v>
      </c>
      <c r="B62" s="3" t="s">
        <v>396</v>
      </c>
      <c r="C62" s="4">
        <v>571</v>
      </c>
      <c r="D62" s="123">
        <v>17779.07</v>
      </c>
      <c r="E62" s="24"/>
      <c r="F62" s="24"/>
      <c r="G62" s="24">
        <f t="shared" si="5"/>
        <v>17779.07</v>
      </c>
      <c r="H62" s="24"/>
      <c r="I62" s="24">
        <v>10</v>
      </c>
      <c r="J62" s="39">
        <f>VLOOKUP($I62,AF!$B$15:$F$21,4)*TransExp!$G62</f>
        <v>17779.07</v>
      </c>
      <c r="K62" s="39">
        <f>VLOOKUP($I62,AF!$B$15:$F$21,5)*TransExp!$G62</f>
        <v>0</v>
      </c>
      <c r="L62" s="5"/>
    </row>
    <row r="63" spans="1:12">
      <c r="A63" s="58">
        <f t="shared" si="0"/>
        <v>55</v>
      </c>
      <c r="B63" s="3" t="s">
        <v>6</v>
      </c>
      <c r="C63" s="4">
        <v>924</v>
      </c>
      <c r="D63" s="123">
        <v>65148.75</v>
      </c>
      <c r="E63" s="24"/>
      <c r="F63" s="24"/>
      <c r="G63" s="24">
        <f t="shared" si="5"/>
        <v>65148.75</v>
      </c>
      <c r="H63" s="24"/>
      <c r="I63" s="24">
        <v>14</v>
      </c>
      <c r="J63" s="39">
        <f>VLOOKUP($I63,AF!$B$15:$F$21,4)*TransExp!$G63</f>
        <v>48317.69360121592</v>
      </c>
      <c r="K63" s="39">
        <f>VLOOKUP($I63,AF!$B$15:$F$21,5)*TransExp!$G63</f>
        <v>16831.056398784072</v>
      </c>
      <c r="L63" s="5"/>
    </row>
    <row r="64" spans="1:12">
      <c r="A64" s="58">
        <f t="shared" si="0"/>
        <v>56</v>
      </c>
      <c r="B64" s="3" t="s">
        <v>3</v>
      </c>
      <c r="C64" s="4">
        <v>403</v>
      </c>
      <c r="D64" s="123">
        <v>664823.06000000006</v>
      </c>
      <c r="E64" s="24"/>
      <c r="F64" s="24"/>
      <c r="G64" s="24">
        <f t="shared" si="5"/>
        <v>664823.06000000006</v>
      </c>
      <c r="H64" s="24"/>
      <c r="I64" s="24">
        <v>16</v>
      </c>
      <c r="J64" s="39">
        <f>VLOOKUP($I64,AF!$B$15:$F$21,4)*TransExp!$G64</f>
        <v>134768.97314140556</v>
      </c>
      <c r="K64" s="39">
        <f>VLOOKUP($I64,AF!$B$15:$F$21,5)*TransExp!$G64</f>
        <v>530054.08685859444</v>
      </c>
      <c r="L64" s="5"/>
    </row>
    <row r="65" spans="1:12">
      <c r="A65" s="58">
        <f t="shared" si="0"/>
        <v>57</v>
      </c>
      <c r="B65" s="3" t="s">
        <v>4</v>
      </c>
      <c r="C65" s="4">
        <v>408</v>
      </c>
      <c r="D65" s="123">
        <v>3046.04</v>
      </c>
      <c r="E65" s="24"/>
      <c r="F65" s="24"/>
      <c r="G65" s="24">
        <f t="shared" si="5"/>
        <v>3046.04</v>
      </c>
      <c r="H65" s="24"/>
      <c r="I65" s="24">
        <v>16</v>
      </c>
      <c r="J65" s="39">
        <f>VLOOKUP($I65,AF!$B$15:$F$21,4)*TransExp!$G65</f>
        <v>617.47509622732844</v>
      </c>
      <c r="K65" s="39">
        <f>VLOOKUP($I65,AF!$B$15:$F$21,5)*TransExp!$G65</f>
        <v>2428.5649037726712</v>
      </c>
      <c r="L65" s="5"/>
    </row>
    <row r="66" spans="1:12">
      <c r="A66" s="58">
        <f t="shared" si="0"/>
        <v>58</v>
      </c>
      <c r="B66" s="3" t="s">
        <v>5</v>
      </c>
      <c r="C66" s="4">
        <v>427</v>
      </c>
      <c r="D66" s="124">
        <v>711149.51</v>
      </c>
      <c r="E66" s="24"/>
      <c r="F66" s="112"/>
      <c r="G66" s="112">
        <f>+D66</f>
        <v>711149.51</v>
      </c>
      <c r="H66" s="24"/>
      <c r="I66" s="24">
        <v>16</v>
      </c>
      <c r="J66" s="112">
        <f>VLOOKUP($I66,AF!$B$15:$F$21,4)*TransExp!$G66</f>
        <v>144159.99531170551</v>
      </c>
      <c r="K66" s="112">
        <f>VLOOKUP($I66,AF!$B$15:$F$21,5)*TransExp!$G66</f>
        <v>566989.51468829438</v>
      </c>
      <c r="L66" s="5"/>
    </row>
    <row r="67" spans="1:12">
      <c r="A67" s="58">
        <f t="shared" si="0"/>
        <v>59</v>
      </c>
      <c r="B67" s="3" t="s">
        <v>7</v>
      </c>
      <c r="C67" s="3"/>
      <c r="D67" s="39">
        <f>SUM(D58:D66)</f>
        <v>1983516.72</v>
      </c>
      <c r="E67" s="24"/>
      <c r="F67" s="24"/>
      <c r="G67" s="24">
        <f>SUM(G58:G66)</f>
        <v>1983516.72</v>
      </c>
      <c r="H67" s="24"/>
      <c r="I67" s="24"/>
      <c r="J67" s="24">
        <f>SUM(J58:J66)</f>
        <v>796160.95829203271</v>
      </c>
      <c r="K67" s="24">
        <f>SUM(K58:K66)</f>
        <v>1187355.7617079671</v>
      </c>
      <c r="L67" s="5"/>
    </row>
    <row r="68" spans="1:12">
      <c r="A68" s="58">
        <f t="shared" si="0"/>
        <v>60</v>
      </c>
      <c r="B68" s="3"/>
      <c r="C68" s="3"/>
      <c r="D68" s="39"/>
      <c r="E68" s="24"/>
      <c r="F68" s="24"/>
      <c r="G68" s="24"/>
      <c r="H68" s="24"/>
      <c r="I68" s="24"/>
      <c r="J68" s="24"/>
      <c r="K68" s="24"/>
      <c r="L68" s="5"/>
    </row>
    <row r="69" spans="1:12">
      <c r="A69" s="58">
        <f t="shared" si="0"/>
        <v>61</v>
      </c>
      <c r="B69" s="60" t="s">
        <v>219</v>
      </c>
      <c r="C69" s="4"/>
      <c r="D69" s="39"/>
      <c r="E69" s="24"/>
      <c r="F69" s="24"/>
      <c r="G69" s="24"/>
      <c r="H69" s="24"/>
      <c r="I69" s="24"/>
      <c r="J69" s="24"/>
      <c r="K69" s="24"/>
      <c r="L69" s="5"/>
    </row>
    <row r="70" spans="1:12">
      <c r="A70" s="58">
        <f t="shared" si="0"/>
        <v>62</v>
      </c>
      <c r="B70" s="3" t="s">
        <v>392</v>
      </c>
      <c r="C70" s="4">
        <v>561</v>
      </c>
      <c r="D70" s="125"/>
      <c r="E70" s="24"/>
      <c r="F70" s="24">
        <f>+D70</f>
        <v>0</v>
      </c>
      <c r="G70" s="24"/>
      <c r="H70" s="24"/>
      <c r="I70" s="24"/>
      <c r="J70" s="39"/>
      <c r="K70" s="39"/>
      <c r="L70" s="5"/>
    </row>
    <row r="71" spans="1:12">
      <c r="A71" s="58">
        <f t="shared" si="0"/>
        <v>63</v>
      </c>
      <c r="B71" s="3" t="s">
        <v>395</v>
      </c>
      <c r="C71" s="4">
        <v>562</v>
      </c>
      <c r="D71" s="125">
        <v>3561</v>
      </c>
      <c r="E71" s="24"/>
      <c r="F71" s="24">
        <f t="shared" ref="F71:F77" si="6">+D71</f>
        <v>3561</v>
      </c>
      <c r="G71" s="24"/>
      <c r="H71" s="24"/>
      <c r="I71" s="24"/>
      <c r="J71" s="39"/>
      <c r="K71" s="39"/>
      <c r="L71" s="5"/>
    </row>
    <row r="72" spans="1:12">
      <c r="A72" s="58">
        <f t="shared" si="0"/>
        <v>64</v>
      </c>
      <c r="B72" s="3" t="s">
        <v>393</v>
      </c>
      <c r="C72" s="4">
        <v>568</v>
      </c>
      <c r="D72" s="125"/>
      <c r="E72" s="24"/>
      <c r="F72" s="24">
        <f t="shared" si="6"/>
        <v>0</v>
      </c>
      <c r="G72" s="24"/>
      <c r="H72" s="24"/>
      <c r="I72" s="24"/>
      <c r="J72" s="39"/>
      <c r="K72" s="39"/>
      <c r="L72" s="5"/>
    </row>
    <row r="73" spans="1:12">
      <c r="A73" s="58">
        <f t="shared" si="0"/>
        <v>65</v>
      </c>
      <c r="B73" s="3" t="s">
        <v>399</v>
      </c>
      <c r="C73" s="4">
        <v>570</v>
      </c>
      <c r="D73" s="125"/>
      <c r="E73" s="24"/>
      <c r="F73" s="24">
        <f t="shared" si="6"/>
        <v>0</v>
      </c>
      <c r="G73" s="24"/>
      <c r="H73" s="24"/>
      <c r="I73" s="24"/>
      <c r="J73" s="39"/>
      <c r="K73" s="39"/>
      <c r="L73" s="5"/>
    </row>
    <row r="74" spans="1:12">
      <c r="A74" s="58">
        <f t="shared" ref="A74:A92" si="7">+A73+1</f>
        <v>66</v>
      </c>
      <c r="B74" s="3" t="s">
        <v>396</v>
      </c>
      <c r="C74" s="4">
        <v>571</v>
      </c>
      <c r="D74" s="125"/>
      <c r="E74" s="24"/>
      <c r="F74" s="24">
        <f t="shared" si="6"/>
        <v>0</v>
      </c>
      <c r="G74" s="24"/>
      <c r="H74" s="24"/>
      <c r="I74" s="24"/>
      <c r="J74" s="39"/>
      <c r="K74" s="39"/>
      <c r="L74" s="5"/>
    </row>
    <row r="75" spans="1:12">
      <c r="A75" s="58">
        <f t="shared" si="7"/>
        <v>67</v>
      </c>
      <c r="B75" s="3" t="s">
        <v>6</v>
      </c>
      <c r="C75" s="4">
        <v>924</v>
      </c>
      <c r="D75" s="126"/>
      <c r="E75" s="24"/>
      <c r="F75" s="24">
        <f t="shared" si="6"/>
        <v>0</v>
      </c>
      <c r="G75" s="24"/>
      <c r="H75" s="24"/>
      <c r="I75" s="24"/>
      <c r="J75" s="39"/>
      <c r="K75" s="39"/>
      <c r="L75" s="5"/>
    </row>
    <row r="76" spans="1:12">
      <c r="A76" s="58">
        <f t="shared" si="7"/>
        <v>68</v>
      </c>
      <c r="B76" s="3" t="s">
        <v>3</v>
      </c>
      <c r="C76" s="4">
        <v>403</v>
      </c>
      <c r="D76" s="126"/>
      <c r="E76" s="24"/>
      <c r="F76" s="24">
        <f t="shared" si="6"/>
        <v>0</v>
      </c>
      <c r="G76" s="24"/>
      <c r="H76" s="24"/>
      <c r="I76" s="24"/>
      <c r="J76" s="39"/>
      <c r="K76" s="39"/>
      <c r="L76" s="5"/>
    </row>
    <row r="77" spans="1:12">
      <c r="A77" s="58">
        <f t="shared" si="7"/>
        <v>69</v>
      </c>
      <c r="B77" s="3" t="s">
        <v>4</v>
      </c>
      <c r="C77" s="4">
        <v>408</v>
      </c>
      <c r="D77" s="126"/>
      <c r="E77" s="24"/>
      <c r="F77" s="24">
        <f t="shared" si="6"/>
        <v>0</v>
      </c>
      <c r="G77" s="24"/>
      <c r="H77" s="24"/>
      <c r="I77" s="24"/>
      <c r="J77" s="39"/>
      <c r="K77" s="39"/>
      <c r="L77" s="5"/>
    </row>
    <row r="78" spans="1:12">
      <c r="A78" s="58">
        <f t="shared" si="7"/>
        <v>70</v>
      </c>
      <c r="B78" s="3" t="s">
        <v>5</v>
      </c>
      <c r="C78" s="4">
        <v>427</v>
      </c>
      <c r="D78" s="115"/>
      <c r="E78" s="24"/>
      <c r="F78" s="112"/>
      <c r="G78" s="112"/>
      <c r="H78" s="112"/>
      <c r="I78" s="24"/>
      <c r="J78" s="112"/>
      <c r="K78" s="112"/>
      <c r="L78" s="5"/>
    </row>
    <row r="79" spans="1:12">
      <c r="A79" s="58">
        <f t="shared" si="7"/>
        <v>71</v>
      </c>
      <c r="B79" s="3" t="s">
        <v>7</v>
      </c>
      <c r="C79" s="3"/>
      <c r="D79" s="24">
        <f>SUM(D70:D78)</f>
        <v>3561</v>
      </c>
      <c r="E79" s="24"/>
      <c r="F79" s="24">
        <f>SUM(F70:F78)</f>
        <v>3561</v>
      </c>
      <c r="G79" s="24"/>
      <c r="H79" s="24"/>
      <c r="I79" s="24"/>
      <c r="J79" s="24">
        <f>SUM(J70:J78)</f>
        <v>0</v>
      </c>
      <c r="K79" s="24">
        <f>SUM(K70:K78)</f>
        <v>0</v>
      </c>
      <c r="L79" s="5"/>
    </row>
    <row r="80" spans="1:12">
      <c r="A80" s="58">
        <f t="shared" si="7"/>
        <v>72</v>
      </c>
      <c r="B80" s="3"/>
      <c r="C80" s="3"/>
      <c r="D80" s="39"/>
      <c r="E80" s="24"/>
      <c r="F80" s="24"/>
      <c r="G80" s="24"/>
      <c r="H80" s="24"/>
      <c r="I80" s="24"/>
      <c r="J80" s="24"/>
      <c r="K80" s="24"/>
      <c r="L80" s="5"/>
    </row>
    <row r="81" spans="1:12">
      <c r="A81" s="58">
        <f t="shared" si="7"/>
        <v>73</v>
      </c>
      <c r="B81" s="74" t="s">
        <v>7</v>
      </c>
      <c r="C81" s="3"/>
      <c r="D81" s="39"/>
      <c r="E81" s="24"/>
      <c r="F81" s="24"/>
      <c r="G81" s="24"/>
      <c r="H81" s="24"/>
      <c r="I81" s="24"/>
      <c r="J81" s="24"/>
      <c r="K81" s="24"/>
      <c r="L81" s="5"/>
    </row>
    <row r="82" spans="1:12">
      <c r="A82" s="58">
        <f t="shared" si="7"/>
        <v>74</v>
      </c>
      <c r="B82" s="3" t="str">
        <f t="shared" ref="B82:C83" si="8">+B10</f>
        <v>Load Dispatching</v>
      </c>
      <c r="C82" s="4">
        <f t="shared" si="8"/>
        <v>561</v>
      </c>
      <c r="D82" s="43">
        <f>+D10+D22+D34+D46+D58+D70</f>
        <v>14881.34</v>
      </c>
      <c r="E82" s="3"/>
      <c r="F82" s="43">
        <f>+F10+F22+F34+F46+F58+F70</f>
        <v>0</v>
      </c>
      <c r="G82" s="43">
        <f>+G10+G22+G34+G46+G58+G70</f>
        <v>14881.34</v>
      </c>
      <c r="H82" s="43">
        <f>+H10+H22+H34+H46+H58+H70</f>
        <v>0</v>
      </c>
      <c r="I82" s="43"/>
      <c r="J82" s="43">
        <f>+J10+J22+J34+J46+J58+J70</f>
        <v>1347.2277137943231</v>
      </c>
      <c r="K82" s="43">
        <f>+K10+K22+K34+K46+K58+K70</f>
        <v>13534.112286205676</v>
      </c>
      <c r="L82" s="46"/>
    </row>
    <row r="83" spans="1:12">
      <c r="A83" s="58">
        <f t="shared" si="7"/>
        <v>75</v>
      </c>
      <c r="B83" s="3" t="str">
        <f t="shared" si="8"/>
        <v>Station Operating Expense  (Note 1)</v>
      </c>
      <c r="C83" s="4">
        <f t="shared" si="8"/>
        <v>562</v>
      </c>
      <c r="D83" s="43">
        <f>+D11+D23+D35+D47+D59+D71-D84</f>
        <v>122657.43999999994</v>
      </c>
      <c r="E83" s="3"/>
      <c r="F83" s="43"/>
      <c r="G83" s="43">
        <f t="shared" ref="G83:H83" si="9">+G11+G23+G35+G47+G59+G71</f>
        <v>85043.867252944314</v>
      </c>
      <c r="H83" s="43">
        <f t="shared" si="9"/>
        <v>37613.572747055638</v>
      </c>
      <c r="I83" s="43"/>
      <c r="J83" s="43">
        <f t="shared" ref="J83:K83" si="10">+J11+J23+J35+J47+J59+J71</f>
        <v>7699.1356189302887</v>
      </c>
      <c r="K83" s="43">
        <f t="shared" si="10"/>
        <v>77344.731634014024</v>
      </c>
      <c r="L83" s="46"/>
    </row>
    <row r="84" spans="1:12">
      <c r="A84" s="110">
        <f t="shared" si="7"/>
        <v>76</v>
      </c>
      <c r="B84" s="3" t="s">
        <v>220</v>
      </c>
      <c r="C84" s="4">
        <v>562</v>
      </c>
      <c r="D84" s="43">
        <f>+D71</f>
        <v>3561</v>
      </c>
      <c r="E84" s="3"/>
      <c r="F84" s="43">
        <f>+D84</f>
        <v>3561</v>
      </c>
      <c r="G84" s="43"/>
      <c r="H84" s="43"/>
      <c r="I84" s="43"/>
      <c r="J84" s="43"/>
      <c r="K84" s="43"/>
      <c r="L84" s="46"/>
    </row>
    <row r="85" spans="1:12">
      <c r="A85" s="110">
        <f t="shared" si="7"/>
        <v>77</v>
      </c>
      <c r="B85" s="3" t="str">
        <f t="shared" ref="B85:C90" si="11">+B12</f>
        <v>Maintenance Supervision</v>
      </c>
      <c r="C85" s="4">
        <f t="shared" si="11"/>
        <v>568</v>
      </c>
      <c r="D85" s="43">
        <f t="shared" ref="D85:D91" si="12">+D12+D24+D36+D48+D60+D72</f>
        <v>0</v>
      </c>
      <c r="E85" s="3"/>
      <c r="F85" s="43">
        <f t="shared" ref="F85:F91" si="13">+F12+F24+F36+F48+F60+F72</f>
        <v>0</v>
      </c>
      <c r="G85" s="43">
        <f t="shared" ref="G85:H85" si="14">+G12+G24+G36+G48+G60+G72</f>
        <v>0</v>
      </c>
      <c r="H85" s="43">
        <f t="shared" si="14"/>
        <v>0</v>
      </c>
      <c r="I85" s="43"/>
      <c r="J85" s="43">
        <f t="shared" ref="J85:K85" si="15">+J12+J24+J36+J48+J60+J72</f>
        <v>0</v>
      </c>
      <c r="K85" s="43">
        <f t="shared" si="15"/>
        <v>0</v>
      </c>
      <c r="L85" s="46"/>
    </row>
    <row r="86" spans="1:12">
      <c r="A86" s="110">
        <f t="shared" si="7"/>
        <v>78</v>
      </c>
      <c r="B86" s="3" t="str">
        <f t="shared" si="11"/>
        <v>Maintenance Station Equipment (Note 2)</v>
      </c>
      <c r="C86" s="4">
        <f t="shared" si="11"/>
        <v>570</v>
      </c>
      <c r="D86" s="43">
        <f t="shared" si="12"/>
        <v>600143.09000000008</v>
      </c>
      <c r="E86" s="3"/>
      <c r="F86" s="43">
        <f t="shared" si="13"/>
        <v>0</v>
      </c>
      <c r="G86" s="43">
        <f t="shared" ref="G86:H86" si="16">+G13+G25+G37+G49+G61+G73</f>
        <v>457001.99560013355</v>
      </c>
      <c r="H86" s="43">
        <f t="shared" si="16"/>
        <v>143141.09439986642</v>
      </c>
      <c r="I86" s="43"/>
      <c r="J86" s="43">
        <f t="shared" ref="J86:K86" si="17">+J13+J25+J37+J49+J61+J73</f>
        <v>457001.99560013355</v>
      </c>
      <c r="K86" s="43">
        <f t="shared" si="17"/>
        <v>0</v>
      </c>
      <c r="L86" s="46"/>
    </row>
    <row r="87" spans="1:12">
      <c r="A87" s="110">
        <f t="shared" si="7"/>
        <v>79</v>
      </c>
      <c r="B87" s="3" t="str">
        <f t="shared" si="11"/>
        <v>Maintenance OH Lines (Note 3)</v>
      </c>
      <c r="C87" s="4">
        <f t="shared" si="11"/>
        <v>571</v>
      </c>
      <c r="D87" s="43">
        <f t="shared" si="12"/>
        <v>82794.01999999999</v>
      </c>
      <c r="E87" s="3"/>
      <c r="F87" s="43">
        <f t="shared" si="13"/>
        <v>0</v>
      </c>
      <c r="G87" s="43">
        <f t="shared" ref="G87:H87" si="18">+G14+G26+G38+G50+G62+G74</f>
        <v>35067.354309087066</v>
      </c>
      <c r="H87" s="43">
        <f t="shared" si="18"/>
        <v>47726.665690912923</v>
      </c>
      <c r="I87" s="43"/>
      <c r="J87" s="43">
        <f t="shared" ref="J87:K87" si="19">+J14+J26+J38+J50+J62+J74</f>
        <v>35067.354309087066</v>
      </c>
      <c r="K87" s="43">
        <f t="shared" si="19"/>
        <v>0</v>
      </c>
      <c r="L87" s="46"/>
    </row>
    <row r="88" spans="1:12">
      <c r="A88" s="110">
        <f t="shared" si="7"/>
        <v>80</v>
      </c>
      <c r="B88" s="3" t="str">
        <f t="shared" si="11"/>
        <v>Insurance</v>
      </c>
      <c r="C88" s="4">
        <f t="shared" si="11"/>
        <v>924</v>
      </c>
      <c r="D88" s="43">
        <f t="shared" si="12"/>
        <v>103805.55</v>
      </c>
      <c r="E88" s="3"/>
      <c r="F88" s="43">
        <f t="shared" si="13"/>
        <v>0</v>
      </c>
      <c r="G88" s="43">
        <f t="shared" ref="G88:H88" si="20">+G15+G27+G39+G51+G63+G75</f>
        <v>73790.345552397979</v>
      </c>
      <c r="H88" s="43">
        <f t="shared" si="20"/>
        <v>30015.204447602016</v>
      </c>
      <c r="I88" s="43"/>
      <c r="J88" s="43">
        <f t="shared" ref="J88:K88" si="21">+J15+J27+J39+J51+J63+J75</f>
        <v>49100.028862663632</v>
      </c>
      <c r="K88" s="43">
        <f t="shared" si="21"/>
        <v>24690.316689734344</v>
      </c>
      <c r="L88" s="46"/>
    </row>
    <row r="89" spans="1:12">
      <c r="A89" s="110">
        <f t="shared" si="7"/>
        <v>81</v>
      </c>
      <c r="B89" s="3" t="str">
        <f t="shared" si="11"/>
        <v>Depreciation</v>
      </c>
      <c r="C89" s="4">
        <f t="shared" si="11"/>
        <v>403</v>
      </c>
      <c r="D89" s="43">
        <f t="shared" si="12"/>
        <v>1293678.8900000001</v>
      </c>
      <c r="E89" s="3"/>
      <c r="F89" s="43">
        <f t="shared" si="13"/>
        <v>0</v>
      </c>
      <c r="G89" s="43">
        <f t="shared" ref="G89:H89" si="22">+G16+G28+G40+G52+G64+G76</f>
        <v>950565.82051146508</v>
      </c>
      <c r="H89" s="43">
        <f t="shared" si="22"/>
        <v>343113.06948853494</v>
      </c>
      <c r="I89" s="43"/>
      <c r="J89" s="43">
        <f>+J16+J28+J40+J52+J64+J76</f>
        <v>323374.36321624601</v>
      </c>
      <c r="K89" s="43">
        <f t="shared" ref="K89" si="23">+K16+K28+K40+K52+K64+K76</f>
        <v>627191.45729521895</v>
      </c>
      <c r="L89" s="46"/>
    </row>
    <row r="90" spans="1:12">
      <c r="A90" s="110">
        <f t="shared" si="7"/>
        <v>82</v>
      </c>
      <c r="B90" s="3" t="str">
        <f t="shared" si="11"/>
        <v>Property Taxes</v>
      </c>
      <c r="C90" s="4">
        <f t="shared" si="11"/>
        <v>408</v>
      </c>
      <c r="D90" s="43">
        <f t="shared" si="12"/>
        <v>28270.260000000002</v>
      </c>
      <c r="E90" s="3"/>
      <c r="F90" s="43">
        <f t="shared" si="13"/>
        <v>0</v>
      </c>
      <c r="G90" s="43">
        <f t="shared" ref="G90:H90" si="24">+G17+G29+G41+G53+G65+G77</f>
        <v>10367.181263090737</v>
      </c>
      <c r="H90" s="43">
        <f t="shared" si="24"/>
        <v>17903.078736909261</v>
      </c>
      <c r="I90" s="43"/>
      <c r="J90" s="43">
        <f t="shared" ref="J90:K90" si="25">+J17+J29+J41+J53+J65+J77</f>
        <v>6047.213354616586</v>
      </c>
      <c r="K90" s="43">
        <f t="shared" si="25"/>
        <v>4319.9679084741501</v>
      </c>
      <c r="L90" s="46"/>
    </row>
    <row r="91" spans="1:12">
      <c r="A91" s="110">
        <f t="shared" si="7"/>
        <v>83</v>
      </c>
      <c r="B91" s="3" t="str">
        <f t="shared" ref="B91:C91" si="26">+B18</f>
        <v>Interest</v>
      </c>
      <c r="C91" s="4">
        <f t="shared" si="26"/>
        <v>427</v>
      </c>
      <c r="D91" s="67">
        <f t="shared" si="12"/>
        <v>1811108.33</v>
      </c>
      <c r="E91" s="3"/>
      <c r="F91" s="67">
        <f t="shared" si="13"/>
        <v>0</v>
      </c>
      <c r="G91" s="67">
        <f t="shared" ref="G91:H91" si="27">+G18+G30+G42+G54+G66+G78</f>
        <v>1237369.2753675175</v>
      </c>
      <c r="H91" s="67">
        <f t="shared" si="27"/>
        <v>573739.05463248247</v>
      </c>
      <c r="I91" s="43"/>
      <c r="J91" s="67">
        <f t="shared" ref="J91:K91" si="28">+J18+J30+J42+J54+J66+J78</f>
        <v>487083.21479536348</v>
      </c>
      <c r="K91" s="67">
        <f t="shared" si="28"/>
        <v>750286.06057215389</v>
      </c>
      <c r="L91" s="46"/>
    </row>
    <row r="92" spans="1:12">
      <c r="A92" s="110">
        <f t="shared" si="7"/>
        <v>84</v>
      </c>
      <c r="B92" t="s">
        <v>2</v>
      </c>
      <c r="D92" s="10">
        <f>SUM(D82:D91)</f>
        <v>4060899.92</v>
      </c>
      <c r="F92" s="10">
        <f>SUM(F82:F91)</f>
        <v>3561</v>
      </c>
      <c r="G92" s="10">
        <f>SUM(G82:G91)</f>
        <v>2864087.1798566366</v>
      </c>
      <c r="H92" s="10">
        <f>SUM(H82:H91)</f>
        <v>1193251.7401433638</v>
      </c>
      <c r="I92" s="10"/>
      <c r="J92" s="10">
        <f>SUM(J82:J91)</f>
        <v>1366720.5334708351</v>
      </c>
      <c r="K92" s="10">
        <f>SUM(K82:K91)</f>
        <v>1497366.646385801</v>
      </c>
    </row>
    <row r="93" spans="1:12">
      <c r="A93" s="81"/>
      <c r="D93" s="10"/>
      <c r="F93" s="10"/>
      <c r="G93" s="10"/>
      <c r="H93" s="10"/>
      <c r="I93" s="10"/>
      <c r="J93" s="10"/>
      <c r="K93" s="10"/>
    </row>
    <row r="94" spans="1:12">
      <c r="C94" s="81" t="s">
        <v>285</v>
      </c>
      <c r="D94" s="81" t="s">
        <v>284</v>
      </c>
      <c r="E94" s="81"/>
      <c r="F94" s="81" t="s">
        <v>286</v>
      </c>
    </row>
    <row r="95" spans="1:12">
      <c r="B95" s="3" t="s">
        <v>287</v>
      </c>
      <c r="C95" s="44" t="s">
        <v>113</v>
      </c>
      <c r="D95" s="44" t="s">
        <v>113</v>
      </c>
      <c r="E95" s="81"/>
      <c r="F95" s="44" t="s">
        <v>113</v>
      </c>
    </row>
    <row r="96" spans="1:12">
      <c r="A96">
        <v>1</v>
      </c>
      <c r="B96" s="3" t="s">
        <v>192</v>
      </c>
      <c r="C96" s="132">
        <v>417484.73</v>
      </c>
      <c r="D96" s="132">
        <v>375934.53</v>
      </c>
      <c r="F96" s="10">
        <f>+C96-D96</f>
        <v>41550.199999999953</v>
      </c>
      <c r="H96" s="10"/>
    </row>
    <row r="97" spans="1:6">
      <c r="A97">
        <v>2</v>
      </c>
      <c r="B97" s="3" t="s">
        <v>193</v>
      </c>
      <c r="C97" s="132">
        <v>30271.89</v>
      </c>
      <c r="D97" s="132">
        <v>12118.3</v>
      </c>
      <c r="F97" s="10">
        <f t="shared" ref="F97:F98" si="29">+C97-D97</f>
        <v>18153.59</v>
      </c>
    </row>
    <row r="98" spans="1:6">
      <c r="A98">
        <v>3</v>
      </c>
      <c r="B98" s="3" t="s">
        <v>194</v>
      </c>
      <c r="C98" s="132">
        <v>33620.050000000003</v>
      </c>
      <c r="D98" s="132">
        <v>10470.120000000001</v>
      </c>
      <c r="F98" s="10">
        <f t="shared" si="29"/>
        <v>23149.93</v>
      </c>
    </row>
    <row r="99" spans="1:6">
      <c r="B99" s="3"/>
      <c r="C99" s="24"/>
      <c r="D99" s="24"/>
    </row>
  </sheetData>
  <mergeCells count="3">
    <mergeCell ref="B1:L1"/>
    <mergeCell ref="B2:L2"/>
    <mergeCell ref="B3:L3"/>
  </mergeCells>
  <pageMargins left="0.2" right="0.2" top="0.75" bottom="0.75" header="0.3" footer="0.3"/>
  <pageSetup scale="75" orientation="landscape" r:id="rId1"/>
  <headerFooter>
    <oddHeader xml:space="preserve">&amp;RSchedule E1.0
</oddHeader>
    <oddFooter>&amp;R&amp;D</oddFooter>
  </headerFooter>
  <rowBreaks count="2" manualBreakCount="2">
    <brk id="44" max="10" man="1"/>
    <brk id="67" max="10" man="1"/>
  </rowBreaks>
</worksheet>
</file>

<file path=xl/worksheets/sheet7.xml><?xml version="1.0" encoding="utf-8"?>
<worksheet xmlns="http://schemas.openxmlformats.org/spreadsheetml/2006/main" xmlns:r="http://schemas.openxmlformats.org/officeDocument/2006/relationships">
  <sheetPr>
    <tabColor rgb="FFC00000"/>
  </sheetPr>
  <dimension ref="A1:J60"/>
  <sheetViews>
    <sheetView view="pageLayout" topLeftCell="A33" workbookViewId="0">
      <selection activeCell="A2" sqref="A2"/>
    </sheetView>
  </sheetViews>
  <sheetFormatPr defaultRowHeight="12.75"/>
  <cols>
    <col min="1" max="1" width="4.28515625" style="20" customWidth="1"/>
    <col min="2" max="2" width="5.7109375" style="20" customWidth="1"/>
    <col min="3" max="3" width="34.42578125" style="20" customWidth="1"/>
    <col min="4" max="4" width="16.85546875" style="20" bestFit="1" customWidth="1"/>
    <col min="5" max="5" width="13" style="20" customWidth="1"/>
    <col min="6" max="6" width="11.85546875" style="20" customWidth="1"/>
    <col min="7" max="8" width="13.5703125" style="20" customWidth="1"/>
    <col min="9" max="9" width="12.42578125" style="20" customWidth="1"/>
    <col min="10" max="10" width="10.28515625" style="20" bestFit="1" customWidth="1"/>
    <col min="11" max="11" width="7.28515625" style="20" customWidth="1"/>
    <col min="12" max="248" width="9.140625" style="20"/>
    <col min="249" max="249" width="5.7109375" style="20" customWidth="1"/>
    <col min="250" max="250" width="26.7109375" style="20" customWidth="1"/>
    <col min="251" max="252" width="11.7109375" style="20" customWidth="1"/>
    <col min="253" max="253" width="1.7109375" style="20" customWidth="1"/>
    <col min="254" max="254" width="13" style="20" customWidth="1"/>
    <col min="255" max="255" width="11.85546875" style="20" customWidth="1"/>
    <col min="256" max="256" width="11.42578125" style="20" customWidth="1"/>
    <col min="257" max="257" width="1.7109375" style="20" customWidth="1"/>
    <col min="258" max="258" width="14.28515625" style="20" bestFit="1" customWidth="1"/>
    <col min="259" max="259" width="15.85546875" style="20" bestFit="1" customWidth="1"/>
    <col min="260" max="260" width="11.140625" style="20" customWidth="1"/>
    <col min="261" max="261" width="1.7109375" style="20" customWidth="1"/>
    <col min="262" max="262" width="14.140625" style="20" bestFit="1" customWidth="1"/>
    <col min="263" max="263" width="14.28515625" style="20" bestFit="1" customWidth="1"/>
    <col min="264" max="264" width="11.140625" style="20" customWidth="1"/>
    <col min="265" max="504" width="9.140625" style="20"/>
    <col min="505" max="505" width="5.7109375" style="20" customWidth="1"/>
    <col min="506" max="506" width="26.7109375" style="20" customWidth="1"/>
    <col min="507" max="508" width="11.7109375" style="20" customWidth="1"/>
    <col min="509" max="509" width="1.7109375" style="20" customWidth="1"/>
    <col min="510" max="510" width="13" style="20" customWidth="1"/>
    <col min="511" max="511" width="11.85546875" style="20" customWidth="1"/>
    <col min="512" max="512" width="11.42578125" style="20" customWidth="1"/>
    <col min="513" max="513" width="1.7109375" style="20" customWidth="1"/>
    <col min="514" max="514" width="14.28515625" style="20" bestFit="1" customWidth="1"/>
    <col min="515" max="515" width="15.85546875" style="20" bestFit="1" customWidth="1"/>
    <col min="516" max="516" width="11.140625" style="20" customWidth="1"/>
    <col min="517" max="517" width="1.7109375" style="20" customWidth="1"/>
    <col min="518" max="518" width="14.140625" style="20" bestFit="1" customWidth="1"/>
    <col min="519" max="519" width="14.28515625" style="20" bestFit="1" customWidth="1"/>
    <col min="520" max="520" width="11.140625" style="20" customWidth="1"/>
    <col min="521" max="760" width="9.140625" style="20"/>
    <col min="761" max="761" width="5.7109375" style="20" customWidth="1"/>
    <col min="762" max="762" width="26.7109375" style="20" customWidth="1"/>
    <col min="763" max="764" width="11.7109375" style="20" customWidth="1"/>
    <col min="765" max="765" width="1.7109375" style="20" customWidth="1"/>
    <col min="766" max="766" width="13" style="20" customWidth="1"/>
    <col min="767" max="767" width="11.85546875" style="20" customWidth="1"/>
    <col min="768" max="768" width="11.42578125" style="20" customWidth="1"/>
    <col min="769" max="769" width="1.7109375" style="20" customWidth="1"/>
    <col min="770" max="770" width="14.28515625" style="20" bestFit="1" customWidth="1"/>
    <col min="771" max="771" width="15.85546875" style="20" bestFit="1" customWidth="1"/>
    <col min="772" max="772" width="11.140625" style="20" customWidth="1"/>
    <col min="773" max="773" width="1.7109375" style="20" customWidth="1"/>
    <col min="774" max="774" width="14.140625" style="20" bestFit="1" customWidth="1"/>
    <col min="775" max="775" width="14.28515625" style="20" bestFit="1" customWidth="1"/>
    <col min="776" max="776" width="11.140625" style="20" customWidth="1"/>
    <col min="777" max="1016" width="9.140625" style="20"/>
    <col min="1017" max="1017" width="5.7109375" style="20" customWidth="1"/>
    <col min="1018" max="1018" width="26.7109375" style="20" customWidth="1"/>
    <col min="1019" max="1020" width="11.7109375" style="20" customWidth="1"/>
    <col min="1021" max="1021" width="1.7109375" style="20" customWidth="1"/>
    <col min="1022" max="1022" width="13" style="20" customWidth="1"/>
    <col min="1023" max="1023" width="11.85546875" style="20" customWidth="1"/>
    <col min="1024" max="1024" width="11.42578125" style="20" customWidth="1"/>
    <col min="1025" max="1025" width="1.7109375" style="20" customWidth="1"/>
    <col min="1026" max="1026" width="14.28515625" style="20" bestFit="1" customWidth="1"/>
    <col min="1027" max="1027" width="15.85546875" style="20" bestFit="1" customWidth="1"/>
    <col min="1028" max="1028" width="11.140625" style="20" customWidth="1"/>
    <col min="1029" max="1029" width="1.7109375" style="20" customWidth="1"/>
    <col min="1030" max="1030" width="14.140625" style="20" bestFit="1" customWidth="1"/>
    <col min="1031" max="1031" width="14.28515625" style="20" bestFit="1" customWidth="1"/>
    <col min="1032" max="1032" width="11.140625" style="20" customWidth="1"/>
    <col min="1033" max="1272" width="9.140625" style="20"/>
    <col min="1273" max="1273" width="5.7109375" style="20" customWidth="1"/>
    <col min="1274" max="1274" width="26.7109375" style="20" customWidth="1"/>
    <col min="1275" max="1276" width="11.7109375" style="20" customWidth="1"/>
    <col min="1277" max="1277" width="1.7109375" style="20" customWidth="1"/>
    <col min="1278" max="1278" width="13" style="20" customWidth="1"/>
    <col min="1279" max="1279" width="11.85546875" style="20" customWidth="1"/>
    <col min="1280" max="1280" width="11.42578125" style="20" customWidth="1"/>
    <col min="1281" max="1281" width="1.7109375" style="20" customWidth="1"/>
    <col min="1282" max="1282" width="14.28515625" style="20" bestFit="1" customWidth="1"/>
    <col min="1283" max="1283" width="15.85546875" style="20" bestFit="1" customWidth="1"/>
    <col min="1284" max="1284" width="11.140625" style="20" customWidth="1"/>
    <col min="1285" max="1285" width="1.7109375" style="20" customWidth="1"/>
    <col min="1286" max="1286" width="14.140625" style="20" bestFit="1" customWidth="1"/>
    <col min="1287" max="1287" width="14.28515625" style="20" bestFit="1" customWidth="1"/>
    <col min="1288" max="1288" width="11.140625" style="20" customWidth="1"/>
    <col min="1289" max="1528" width="9.140625" style="20"/>
    <col min="1529" max="1529" width="5.7109375" style="20" customWidth="1"/>
    <col min="1530" max="1530" width="26.7109375" style="20" customWidth="1"/>
    <col min="1531" max="1532" width="11.7109375" style="20" customWidth="1"/>
    <col min="1533" max="1533" width="1.7109375" style="20" customWidth="1"/>
    <col min="1534" max="1534" width="13" style="20" customWidth="1"/>
    <col min="1535" max="1535" width="11.85546875" style="20" customWidth="1"/>
    <col min="1536" max="1536" width="11.42578125" style="20" customWidth="1"/>
    <col min="1537" max="1537" width="1.7109375" style="20" customWidth="1"/>
    <col min="1538" max="1538" width="14.28515625" style="20" bestFit="1" customWidth="1"/>
    <col min="1539" max="1539" width="15.85546875" style="20" bestFit="1" customWidth="1"/>
    <col min="1540" max="1540" width="11.140625" style="20" customWidth="1"/>
    <col min="1541" max="1541" width="1.7109375" style="20" customWidth="1"/>
    <col min="1542" max="1542" width="14.140625" style="20" bestFit="1" customWidth="1"/>
    <col min="1543" max="1543" width="14.28515625" style="20" bestFit="1" customWidth="1"/>
    <col min="1544" max="1544" width="11.140625" style="20" customWidth="1"/>
    <col min="1545" max="1784" width="9.140625" style="20"/>
    <col min="1785" max="1785" width="5.7109375" style="20" customWidth="1"/>
    <col min="1786" max="1786" width="26.7109375" style="20" customWidth="1"/>
    <col min="1787" max="1788" width="11.7109375" style="20" customWidth="1"/>
    <col min="1789" max="1789" width="1.7109375" style="20" customWidth="1"/>
    <col min="1790" max="1790" width="13" style="20" customWidth="1"/>
    <col min="1791" max="1791" width="11.85546875" style="20" customWidth="1"/>
    <col min="1792" max="1792" width="11.42578125" style="20" customWidth="1"/>
    <col min="1793" max="1793" width="1.7109375" style="20" customWidth="1"/>
    <col min="1794" max="1794" width="14.28515625" style="20" bestFit="1" customWidth="1"/>
    <col min="1795" max="1795" width="15.85546875" style="20" bestFit="1" customWidth="1"/>
    <col min="1796" max="1796" width="11.140625" style="20" customWidth="1"/>
    <col min="1797" max="1797" width="1.7109375" style="20" customWidth="1"/>
    <col min="1798" max="1798" width="14.140625" style="20" bestFit="1" customWidth="1"/>
    <col min="1799" max="1799" width="14.28515625" style="20" bestFit="1" customWidth="1"/>
    <col min="1800" max="1800" width="11.140625" style="20" customWidth="1"/>
    <col min="1801" max="2040" width="9.140625" style="20"/>
    <col min="2041" max="2041" width="5.7109375" style="20" customWidth="1"/>
    <col min="2042" max="2042" width="26.7109375" style="20" customWidth="1"/>
    <col min="2043" max="2044" width="11.7109375" style="20" customWidth="1"/>
    <col min="2045" max="2045" width="1.7109375" style="20" customWidth="1"/>
    <col min="2046" max="2046" width="13" style="20" customWidth="1"/>
    <col min="2047" max="2047" width="11.85546875" style="20" customWidth="1"/>
    <col min="2048" max="2048" width="11.42578125" style="20" customWidth="1"/>
    <col min="2049" max="2049" width="1.7109375" style="20" customWidth="1"/>
    <col min="2050" max="2050" width="14.28515625" style="20" bestFit="1" customWidth="1"/>
    <col min="2051" max="2051" width="15.85546875" style="20" bestFit="1" customWidth="1"/>
    <col min="2052" max="2052" width="11.140625" style="20" customWidth="1"/>
    <col min="2053" max="2053" width="1.7109375" style="20" customWidth="1"/>
    <col min="2054" max="2054" width="14.140625" style="20" bestFit="1" customWidth="1"/>
    <col min="2055" max="2055" width="14.28515625" style="20" bestFit="1" customWidth="1"/>
    <col min="2056" max="2056" width="11.140625" style="20" customWidth="1"/>
    <col min="2057" max="2296" width="9.140625" style="20"/>
    <col min="2297" max="2297" width="5.7109375" style="20" customWidth="1"/>
    <col min="2298" max="2298" width="26.7109375" style="20" customWidth="1"/>
    <col min="2299" max="2300" width="11.7109375" style="20" customWidth="1"/>
    <col min="2301" max="2301" width="1.7109375" style="20" customWidth="1"/>
    <col min="2302" max="2302" width="13" style="20" customWidth="1"/>
    <col min="2303" max="2303" width="11.85546875" style="20" customWidth="1"/>
    <col min="2304" max="2304" width="11.42578125" style="20" customWidth="1"/>
    <col min="2305" max="2305" width="1.7109375" style="20" customWidth="1"/>
    <col min="2306" max="2306" width="14.28515625" style="20" bestFit="1" customWidth="1"/>
    <col min="2307" max="2307" width="15.85546875" style="20" bestFit="1" customWidth="1"/>
    <col min="2308" max="2308" width="11.140625" style="20" customWidth="1"/>
    <col min="2309" max="2309" width="1.7109375" style="20" customWidth="1"/>
    <col min="2310" max="2310" width="14.140625" style="20" bestFit="1" customWidth="1"/>
    <col min="2311" max="2311" width="14.28515625" style="20" bestFit="1" customWidth="1"/>
    <col min="2312" max="2312" width="11.140625" style="20" customWidth="1"/>
    <col min="2313" max="2552" width="9.140625" style="20"/>
    <col min="2553" max="2553" width="5.7109375" style="20" customWidth="1"/>
    <col min="2554" max="2554" width="26.7109375" style="20" customWidth="1"/>
    <col min="2555" max="2556" width="11.7109375" style="20" customWidth="1"/>
    <col min="2557" max="2557" width="1.7109375" style="20" customWidth="1"/>
    <col min="2558" max="2558" width="13" style="20" customWidth="1"/>
    <col min="2559" max="2559" width="11.85546875" style="20" customWidth="1"/>
    <col min="2560" max="2560" width="11.42578125" style="20" customWidth="1"/>
    <col min="2561" max="2561" width="1.7109375" style="20" customWidth="1"/>
    <col min="2562" max="2562" width="14.28515625" style="20" bestFit="1" customWidth="1"/>
    <col min="2563" max="2563" width="15.85546875" style="20" bestFit="1" customWidth="1"/>
    <col min="2564" max="2564" width="11.140625" style="20" customWidth="1"/>
    <col min="2565" max="2565" width="1.7109375" style="20" customWidth="1"/>
    <col min="2566" max="2566" width="14.140625" style="20" bestFit="1" customWidth="1"/>
    <col min="2567" max="2567" width="14.28515625" style="20" bestFit="1" customWidth="1"/>
    <col min="2568" max="2568" width="11.140625" style="20" customWidth="1"/>
    <col min="2569" max="2808" width="9.140625" style="20"/>
    <col min="2809" max="2809" width="5.7109375" style="20" customWidth="1"/>
    <col min="2810" max="2810" width="26.7109375" style="20" customWidth="1"/>
    <col min="2811" max="2812" width="11.7109375" style="20" customWidth="1"/>
    <col min="2813" max="2813" width="1.7109375" style="20" customWidth="1"/>
    <col min="2814" max="2814" width="13" style="20" customWidth="1"/>
    <col min="2815" max="2815" width="11.85546875" style="20" customWidth="1"/>
    <col min="2816" max="2816" width="11.42578125" style="20" customWidth="1"/>
    <col min="2817" max="2817" width="1.7109375" style="20" customWidth="1"/>
    <col min="2818" max="2818" width="14.28515625" style="20" bestFit="1" customWidth="1"/>
    <col min="2819" max="2819" width="15.85546875" style="20" bestFit="1" customWidth="1"/>
    <col min="2820" max="2820" width="11.140625" style="20" customWidth="1"/>
    <col min="2821" max="2821" width="1.7109375" style="20" customWidth="1"/>
    <col min="2822" max="2822" width="14.140625" style="20" bestFit="1" customWidth="1"/>
    <col min="2823" max="2823" width="14.28515625" style="20" bestFit="1" customWidth="1"/>
    <col min="2824" max="2824" width="11.140625" style="20" customWidth="1"/>
    <col min="2825" max="3064" width="9.140625" style="20"/>
    <col min="3065" max="3065" width="5.7109375" style="20" customWidth="1"/>
    <col min="3066" max="3066" width="26.7109375" style="20" customWidth="1"/>
    <col min="3067" max="3068" width="11.7109375" style="20" customWidth="1"/>
    <col min="3069" max="3069" width="1.7109375" style="20" customWidth="1"/>
    <col min="3070" max="3070" width="13" style="20" customWidth="1"/>
    <col min="3071" max="3071" width="11.85546875" style="20" customWidth="1"/>
    <col min="3072" max="3072" width="11.42578125" style="20" customWidth="1"/>
    <col min="3073" max="3073" width="1.7109375" style="20" customWidth="1"/>
    <col min="3074" max="3074" width="14.28515625" style="20" bestFit="1" customWidth="1"/>
    <col min="3075" max="3075" width="15.85546875" style="20" bestFit="1" customWidth="1"/>
    <col min="3076" max="3076" width="11.140625" style="20" customWidth="1"/>
    <col min="3077" max="3077" width="1.7109375" style="20" customWidth="1"/>
    <col min="3078" max="3078" width="14.140625" style="20" bestFit="1" customWidth="1"/>
    <col min="3079" max="3079" width="14.28515625" style="20" bestFit="1" customWidth="1"/>
    <col min="3080" max="3080" width="11.140625" style="20" customWidth="1"/>
    <col min="3081" max="3320" width="9.140625" style="20"/>
    <col min="3321" max="3321" width="5.7109375" style="20" customWidth="1"/>
    <col min="3322" max="3322" width="26.7109375" style="20" customWidth="1"/>
    <col min="3323" max="3324" width="11.7109375" style="20" customWidth="1"/>
    <col min="3325" max="3325" width="1.7109375" style="20" customWidth="1"/>
    <col min="3326" max="3326" width="13" style="20" customWidth="1"/>
    <col min="3327" max="3327" width="11.85546875" style="20" customWidth="1"/>
    <col min="3328" max="3328" width="11.42578125" style="20" customWidth="1"/>
    <col min="3329" max="3329" width="1.7109375" style="20" customWidth="1"/>
    <col min="3330" max="3330" width="14.28515625" style="20" bestFit="1" customWidth="1"/>
    <col min="3331" max="3331" width="15.85546875" style="20" bestFit="1" customWidth="1"/>
    <col min="3332" max="3332" width="11.140625" style="20" customWidth="1"/>
    <col min="3333" max="3333" width="1.7109375" style="20" customWidth="1"/>
    <col min="3334" max="3334" width="14.140625" style="20" bestFit="1" customWidth="1"/>
    <col min="3335" max="3335" width="14.28515625" style="20" bestFit="1" customWidth="1"/>
    <col min="3336" max="3336" width="11.140625" style="20" customWidth="1"/>
    <col min="3337" max="3576" width="9.140625" style="20"/>
    <col min="3577" max="3577" width="5.7109375" style="20" customWidth="1"/>
    <col min="3578" max="3578" width="26.7109375" style="20" customWidth="1"/>
    <col min="3579" max="3580" width="11.7109375" style="20" customWidth="1"/>
    <col min="3581" max="3581" width="1.7109375" style="20" customWidth="1"/>
    <col min="3582" max="3582" width="13" style="20" customWidth="1"/>
    <col min="3583" max="3583" width="11.85546875" style="20" customWidth="1"/>
    <col min="3584" max="3584" width="11.42578125" style="20" customWidth="1"/>
    <col min="3585" max="3585" width="1.7109375" style="20" customWidth="1"/>
    <col min="3586" max="3586" width="14.28515625" style="20" bestFit="1" customWidth="1"/>
    <col min="3587" max="3587" width="15.85546875" style="20" bestFit="1" customWidth="1"/>
    <col min="3588" max="3588" width="11.140625" style="20" customWidth="1"/>
    <col min="3589" max="3589" width="1.7109375" style="20" customWidth="1"/>
    <col min="3590" max="3590" width="14.140625" style="20" bestFit="1" customWidth="1"/>
    <col min="3591" max="3591" width="14.28515625" style="20" bestFit="1" customWidth="1"/>
    <col min="3592" max="3592" width="11.140625" style="20" customWidth="1"/>
    <col min="3593" max="3832" width="9.140625" style="20"/>
    <col min="3833" max="3833" width="5.7109375" style="20" customWidth="1"/>
    <col min="3834" max="3834" width="26.7109375" style="20" customWidth="1"/>
    <col min="3835" max="3836" width="11.7109375" style="20" customWidth="1"/>
    <col min="3837" max="3837" width="1.7109375" style="20" customWidth="1"/>
    <col min="3838" max="3838" width="13" style="20" customWidth="1"/>
    <col min="3839" max="3839" width="11.85546875" style="20" customWidth="1"/>
    <col min="3840" max="3840" width="11.42578125" style="20" customWidth="1"/>
    <col min="3841" max="3841" width="1.7109375" style="20" customWidth="1"/>
    <col min="3842" max="3842" width="14.28515625" style="20" bestFit="1" customWidth="1"/>
    <col min="3843" max="3843" width="15.85546875" style="20" bestFit="1" customWidth="1"/>
    <col min="3844" max="3844" width="11.140625" style="20" customWidth="1"/>
    <col min="3845" max="3845" width="1.7109375" style="20" customWidth="1"/>
    <col min="3846" max="3846" width="14.140625" style="20" bestFit="1" customWidth="1"/>
    <col min="3847" max="3847" width="14.28515625" style="20" bestFit="1" customWidth="1"/>
    <col min="3848" max="3848" width="11.140625" style="20" customWidth="1"/>
    <col min="3849" max="4088" width="9.140625" style="20"/>
    <col min="4089" max="4089" width="5.7109375" style="20" customWidth="1"/>
    <col min="4090" max="4090" width="26.7109375" style="20" customWidth="1"/>
    <col min="4091" max="4092" width="11.7109375" style="20" customWidth="1"/>
    <col min="4093" max="4093" width="1.7109375" style="20" customWidth="1"/>
    <col min="4094" max="4094" width="13" style="20" customWidth="1"/>
    <col min="4095" max="4095" width="11.85546875" style="20" customWidth="1"/>
    <col min="4096" max="4096" width="11.42578125" style="20" customWidth="1"/>
    <col min="4097" max="4097" width="1.7109375" style="20" customWidth="1"/>
    <col min="4098" max="4098" width="14.28515625" style="20" bestFit="1" customWidth="1"/>
    <col min="4099" max="4099" width="15.85546875" style="20" bestFit="1" customWidth="1"/>
    <col min="4100" max="4100" width="11.140625" style="20" customWidth="1"/>
    <col min="4101" max="4101" width="1.7109375" style="20" customWidth="1"/>
    <col min="4102" max="4102" width="14.140625" style="20" bestFit="1" customWidth="1"/>
    <col min="4103" max="4103" width="14.28515625" style="20" bestFit="1" customWidth="1"/>
    <col min="4104" max="4104" width="11.140625" style="20" customWidth="1"/>
    <col min="4105" max="4344" width="9.140625" style="20"/>
    <col min="4345" max="4345" width="5.7109375" style="20" customWidth="1"/>
    <col min="4346" max="4346" width="26.7109375" style="20" customWidth="1"/>
    <col min="4347" max="4348" width="11.7109375" style="20" customWidth="1"/>
    <col min="4349" max="4349" width="1.7109375" style="20" customWidth="1"/>
    <col min="4350" max="4350" width="13" style="20" customWidth="1"/>
    <col min="4351" max="4351" width="11.85546875" style="20" customWidth="1"/>
    <col min="4352" max="4352" width="11.42578125" style="20" customWidth="1"/>
    <col min="4353" max="4353" width="1.7109375" style="20" customWidth="1"/>
    <col min="4354" max="4354" width="14.28515625" style="20" bestFit="1" customWidth="1"/>
    <col min="4355" max="4355" width="15.85546875" style="20" bestFit="1" customWidth="1"/>
    <col min="4356" max="4356" width="11.140625" style="20" customWidth="1"/>
    <col min="4357" max="4357" width="1.7109375" style="20" customWidth="1"/>
    <col min="4358" max="4358" width="14.140625" style="20" bestFit="1" customWidth="1"/>
    <col min="4359" max="4359" width="14.28515625" style="20" bestFit="1" customWidth="1"/>
    <col min="4360" max="4360" width="11.140625" style="20" customWidth="1"/>
    <col min="4361" max="4600" width="9.140625" style="20"/>
    <col min="4601" max="4601" width="5.7109375" style="20" customWidth="1"/>
    <col min="4602" max="4602" width="26.7109375" style="20" customWidth="1"/>
    <col min="4603" max="4604" width="11.7109375" style="20" customWidth="1"/>
    <col min="4605" max="4605" width="1.7109375" style="20" customWidth="1"/>
    <col min="4606" max="4606" width="13" style="20" customWidth="1"/>
    <col min="4607" max="4607" width="11.85546875" style="20" customWidth="1"/>
    <col min="4608" max="4608" width="11.42578125" style="20" customWidth="1"/>
    <col min="4609" max="4609" width="1.7109375" style="20" customWidth="1"/>
    <col min="4610" max="4610" width="14.28515625" style="20" bestFit="1" customWidth="1"/>
    <col min="4611" max="4611" width="15.85546875" style="20" bestFit="1" customWidth="1"/>
    <col min="4612" max="4612" width="11.140625" style="20" customWidth="1"/>
    <col min="4613" max="4613" width="1.7109375" style="20" customWidth="1"/>
    <col min="4614" max="4614" width="14.140625" style="20" bestFit="1" customWidth="1"/>
    <col min="4615" max="4615" width="14.28515625" style="20" bestFit="1" customWidth="1"/>
    <col min="4616" max="4616" width="11.140625" style="20" customWidth="1"/>
    <col min="4617" max="4856" width="9.140625" style="20"/>
    <col min="4857" max="4857" width="5.7109375" style="20" customWidth="1"/>
    <col min="4858" max="4858" width="26.7109375" style="20" customWidth="1"/>
    <col min="4859" max="4860" width="11.7109375" style="20" customWidth="1"/>
    <col min="4861" max="4861" width="1.7109375" style="20" customWidth="1"/>
    <col min="4862" max="4862" width="13" style="20" customWidth="1"/>
    <col min="4863" max="4863" width="11.85546875" style="20" customWidth="1"/>
    <col min="4864" max="4864" width="11.42578125" style="20" customWidth="1"/>
    <col min="4865" max="4865" width="1.7109375" style="20" customWidth="1"/>
    <col min="4866" max="4866" width="14.28515625" style="20" bestFit="1" customWidth="1"/>
    <col min="4867" max="4867" width="15.85546875" style="20" bestFit="1" customWidth="1"/>
    <col min="4868" max="4868" width="11.140625" style="20" customWidth="1"/>
    <col min="4869" max="4869" width="1.7109375" style="20" customWidth="1"/>
    <col min="4870" max="4870" width="14.140625" style="20" bestFit="1" customWidth="1"/>
    <col min="4871" max="4871" width="14.28515625" style="20" bestFit="1" customWidth="1"/>
    <col min="4872" max="4872" width="11.140625" style="20" customWidth="1"/>
    <col min="4873" max="5112" width="9.140625" style="20"/>
    <col min="5113" max="5113" width="5.7109375" style="20" customWidth="1"/>
    <col min="5114" max="5114" width="26.7109375" style="20" customWidth="1"/>
    <col min="5115" max="5116" width="11.7109375" style="20" customWidth="1"/>
    <col min="5117" max="5117" width="1.7109375" style="20" customWidth="1"/>
    <col min="5118" max="5118" width="13" style="20" customWidth="1"/>
    <col min="5119" max="5119" width="11.85546875" style="20" customWidth="1"/>
    <col min="5120" max="5120" width="11.42578125" style="20" customWidth="1"/>
    <col min="5121" max="5121" width="1.7109375" style="20" customWidth="1"/>
    <col min="5122" max="5122" width="14.28515625" style="20" bestFit="1" customWidth="1"/>
    <col min="5123" max="5123" width="15.85546875" style="20" bestFit="1" customWidth="1"/>
    <col min="5124" max="5124" width="11.140625" style="20" customWidth="1"/>
    <col min="5125" max="5125" width="1.7109375" style="20" customWidth="1"/>
    <col min="5126" max="5126" width="14.140625" style="20" bestFit="1" customWidth="1"/>
    <col min="5127" max="5127" width="14.28515625" style="20" bestFit="1" customWidth="1"/>
    <col min="5128" max="5128" width="11.140625" style="20" customWidth="1"/>
    <col min="5129" max="5368" width="9.140625" style="20"/>
    <col min="5369" max="5369" width="5.7109375" style="20" customWidth="1"/>
    <col min="5370" max="5370" width="26.7109375" style="20" customWidth="1"/>
    <col min="5371" max="5372" width="11.7109375" style="20" customWidth="1"/>
    <col min="5373" max="5373" width="1.7109375" style="20" customWidth="1"/>
    <col min="5374" max="5374" width="13" style="20" customWidth="1"/>
    <col min="5375" max="5375" width="11.85546875" style="20" customWidth="1"/>
    <col min="5376" max="5376" width="11.42578125" style="20" customWidth="1"/>
    <col min="5377" max="5377" width="1.7109375" style="20" customWidth="1"/>
    <col min="5378" max="5378" width="14.28515625" style="20" bestFit="1" customWidth="1"/>
    <col min="5379" max="5379" width="15.85546875" style="20" bestFit="1" customWidth="1"/>
    <col min="5380" max="5380" width="11.140625" style="20" customWidth="1"/>
    <col min="5381" max="5381" width="1.7109375" style="20" customWidth="1"/>
    <col min="5382" max="5382" width="14.140625" style="20" bestFit="1" customWidth="1"/>
    <col min="5383" max="5383" width="14.28515625" style="20" bestFit="1" customWidth="1"/>
    <col min="5384" max="5384" width="11.140625" style="20" customWidth="1"/>
    <col min="5385" max="5624" width="9.140625" style="20"/>
    <col min="5625" max="5625" width="5.7109375" style="20" customWidth="1"/>
    <col min="5626" max="5626" width="26.7109375" style="20" customWidth="1"/>
    <col min="5627" max="5628" width="11.7109375" style="20" customWidth="1"/>
    <col min="5629" max="5629" width="1.7109375" style="20" customWidth="1"/>
    <col min="5630" max="5630" width="13" style="20" customWidth="1"/>
    <col min="5631" max="5631" width="11.85546875" style="20" customWidth="1"/>
    <col min="5632" max="5632" width="11.42578125" style="20" customWidth="1"/>
    <col min="5633" max="5633" width="1.7109375" style="20" customWidth="1"/>
    <col min="5634" max="5634" width="14.28515625" style="20" bestFit="1" customWidth="1"/>
    <col min="5635" max="5635" width="15.85546875" style="20" bestFit="1" customWidth="1"/>
    <col min="5636" max="5636" width="11.140625" style="20" customWidth="1"/>
    <col min="5637" max="5637" width="1.7109375" style="20" customWidth="1"/>
    <col min="5638" max="5638" width="14.140625" style="20" bestFit="1" customWidth="1"/>
    <col min="5639" max="5639" width="14.28515625" style="20" bestFit="1" customWidth="1"/>
    <col min="5640" max="5640" width="11.140625" style="20" customWidth="1"/>
    <col min="5641" max="5880" width="9.140625" style="20"/>
    <col min="5881" max="5881" width="5.7109375" style="20" customWidth="1"/>
    <col min="5882" max="5882" width="26.7109375" style="20" customWidth="1"/>
    <col min="5883" max="5884" width="11.7109375" style="20" customWidth="1"/>
    <col min="5885" max="5885" width="1.7109375" style="20" customWidth="1"/>
    <col min="5886" max="5886" width="13" style="20" customWidth="1"/>
    <col min="5887" max="5887" width="11.85546875" style="20" customWidth="1"/>
    <col min="5888" max="5888" width="11.42578125" style="20" customWidth="1"/>
    <col min="5889" max="5889" width="1.7109375" style="20" customWidth="1"/>
    <col min="5890" max="5890" width="14.28515625" style="20" bestFit="1" customWidth="1"/>
    <col min="5891" max="5891" width="15.85546875" style="20" bestFit="1" customWidth="1"/>
    <col min="5892" max="5892" width="11.140625" style="20" customWidth="1"/>
    <col min="5893" max="5893" width="1.7109375" style="20" customWidth="1"/>
    <col min="5894" max="5894" width="14.140625" style="20" bestFit="1" customWidth="1"/>
    <col min="5895" max="5895" width="14.28515625" style="20" bestFit="1" customWidth="1"/>
    <col min="5896" max="5896" width="11.140625" style="20" customWidth="1"/>
    <col min="5897" max="6136" width="9.140625" style="20"/>
    <col min="6137" max="6137" width="5.7109375" style="20" customWidth="1"/>
    <col min="6138" max="6138" width="26.7109375" style="20" customWidth="1"/>
    <col min="6139" max="6140" width="11.7109375" style="20" customWidth="1"/>
    <col min="6141" max="6141" width="1.7109375" style="20" customWidth="1"/>
    <col min="6142" max="6142" width="13" style="20" customWidth="1"/>
    <col min="6143" max="6143" width="11.85546875" style="20" customWidth="1"/>
    <col min="6144" max="6144" width="11.42578125" style="20" customWidth="1"/>
    <col min="6145" max="6145" width="1.7109375" style="20" customWidth="1"/>
    <col min="6146" max="6146" width="14.28515625" style="20" bestFit="1" customWidth="1"/>
    <col min="6147" max="6147" width="15.85546875" style="20" bestFit="1" customWidth="1"/>
    <col min="6148" max="6148" width="11.140625" style="20" customWidth="1"/>
    <col min="6149" max="6149" width="1.7109375" style="20" customWidth="1"/>
    <col min="6150" max="6150" width="14.140625" style="20" bestFit="1" customWidth="1"/>
    <col min="6151" max="6151" width="14.28515625" style="20" bestFit="1" customWidth="1"/>
    <col min="6152" max="6152" width="11.140625" style="20" customWidth="1"/>
    <col min="6153" max="6392" width="9.140625" style="20"/>
    <col min="6393" max="6393" width="5.7109375" style="20" customWidth="1"/>
    <col min="6394" max="6394" width="26.7109375" style="20" customWidth="1"/>
    <col min="6395" max="6396" width="11.7109375" style="20" customWidth="1"/>
    <col min="6397" max="6397" width="1.7109375" style="20" customWidth="1"/>
    <col min="6398" max="6398" width="13" style="20" customWidth="1"/>
    <col min="6399" max="6399" width="11.85546875" style="20" customWidth="1"/>
    <col min="6400" max="6400" width="11.42578125" style="20" customWidth="1"/>
    <col min="6401" max="6401" width="1.7109375" style="20" customWidth="1"/>
    <col min="6402" max="6402" width="14.28515625" style="20" bestFit="1" customWidth="1"/>
    <col min="6403" max="6403" width="15.85546875" style="20" bestFit="1" customWidth="1"/>
    <col min="6404" max="6404" width="11.140625" style="20" customWidth="1"/>
    <col min="6405" max="6405" width="1.7109375" style="20" customWidth="1"/>
    <col min="6406" max="6406" width="14.140625" style="20" bestFit="1" customWidth="1"/>
    <col min="6407" max="6407" width="14.28515625" style="20" bestFit="1" customWidth="1"/>
    <col min="6408" max="6408" width="11.140625" style="20" customWidth="1"/>
    <col min="6409" max="6648" width="9.140625" style="20"/>
    <col min="6649" max="6649" width="5.7109375" style="20" customWidth="1"/>
    <col min="6650" max="6650" width="26.7109375" style="20" customWidth="1"/>
    <col min="6651" max="6652" width="11.7109375" style="20" customWidth="1"/>
    <col min="6653" max="6653" width="1.7109375" style="20" customWidth="1"/>
    <col min="6654" max="6654" width="13" style="20" customWidth="1"/>
    <col min="6655" max="6655" width="11.85546875" style="20" customWidth="1"/>
    <col min="6656" max="6656" width="11.42578125" style="20" customWidth="1"/>
    <col min="6657" max="6657" width="1.7109375" style="20" customWidth="1"/>
    <col min="6658" max="6658" width="14.28515625" style="20" bestFit="1" customWidth="1"/>
    <col min="6659" max="6659" width="15.85546875" style="20" bestFit="1" customWidth="1"/>
    <col min="6660" max="6660" width="11.140625" style="20" customWidth="1"/>
    <col min="6661" max="6661" width="1.7109375" style="20" customWidth="1"/>
    <col min="6662" max="6662" width="14.140625" style="20" bestFit="1" customWidth="1"/>
    <col min="6663" max="6663" width="14.28515625" style="20" bestFit="1" customWidth="1"/>
    <col min="6664" max="6664" width="11.140625" style="20" customWidth="1"/>
    <col min="6665" max="6904" width="9.140625" style="20"/>
    <col min="6905" max="6905" width="5.7109375" style="20" customWidth="1"/>
    <col min="6906" max="6906" width="26.7109375" style="20" customWidth="1"/>
    <col min="6907" max="6908" width="11.7109375" style="20" customWidth="1"/>
    <col min="6909" max="6909" width="1.7109375" style="20" customWidth="1"/>
    <col min="6910" max="6910" width="13" style="20" customWidth="1"/>
    <col min="6911" max="6911" width="11.85546875" style="20" customWidth="1"/>
    <col min="6912" max="6912" width="11.42578125" style="20" customWidth="1"/>
    <col min="6913" max="6913" width="1.7109375" style="20" customWidth="1"/>
    <col min="6914" max="6914" width="14.28515625" style="20" bestFit="1" customWidth="1"/>
    <col min="6915" max="6915" width="15.85546875" style="20" bestFit="1" customWidth="1"/>
    <col min="6916" max="6916" width="11.140625" style="20" customWidth="1"/>
    <col min="6917" max="6917" width="1.7109375" style="20" customWidth="1"/>
    <col min="6918" max="6918" width="14.140625" style="20" bestFit="1" customWidth="1"/>
    <col min="6919" max="6919" width="14.28515625" style="20" bestFit="1" customWidth="1"/>
    <col min="6920" max="6920" width="11.140625" style="20" customWidth="1"/>
    <col min="6921" max="7160" width="9.140625" style="20"/>
    <col min="7161" max="7161" width="5.7109375" style="20" customWidth="1"/>
    <col min="7162" max="7162" width="26.7109375" style="20" customWidth="1"/>
    <col min="7163" max="7164" width="11.7109375" style="20" customWidth="1"/>
    <col min="7165" max="7165" width="1.7109375" style="20" customWidth="1"/>
    <col min="7166" max="7166" width="13" style="20" customWidth="1"/>
    <col min="7167" max="7167" width="11.85546875" style="20" customWidth="1"/>
    <col min="7168" max="7168" width="11.42578125" style="20" customWidth="1"/>
    <col min="7169" max="7169" width="1.7109375" style="20" customWidth="1"/>
    <col min="7170" max="7170" width="14.28515625" style="20" bestFit="1" customWidth="1"/>
    <col min="7171" max="7171" width="15.85546875" style="20" bestFit="1" customWidth="1"/>
    <col min="7172" max="7172" width="11.140625" style="20" customWidth="1"/>
    <col min="7173" max="7173" width="1.7109375" style="20" customWidth="1"/>
    <col min="7174" max="7174" width="14.140625" style="20" bestFit="1" customWidth="1"/>
    <col min="7175" max="7175" width="14.28515625" style="20" bestFit="1" customWidth="1"/>
    <col min="7176" max="7176" width="11.140625" style="20" customWidth="1"/>
    <col min="7177" max="7416" width="9.140625" style="20"/>
    <col min="7417" max="7417" width="5.7109375" style="20" customWidth="1"/>
    <col min="7418" max="7418" width="26.7109375" style="20" customWidth="1"/>
    <col min="7419" max="7420" width="11.7109375" style="20" customWidth="1"/>
    <col min="7421" max="7421" width="1.7109375" style="20" customWidth="1"/>
    <col min="7422" max="7422" width="13" style="20" customWidth="1"/>
    <col min="7423" max="7423" width="11.85546875" style="20" customWidth="1"/>
    <col min="7424" max="7424" width="11.42578125" style="20" customWidth="1"/>
    <col min="7425" max="7425" width="1.7109375" style="20" customWidth="1"/>
    <col min="7426" max="7426" width="14.28515625" style="20" bestFit="1" customWidth="1"/>
    <col min="7427" max="7427" width="15.85546875" style="20" bestFit="1" customWidth="1"/>
    <col min="7428" max="7428" width="11.140625" style="20" customWidth="1"/>
    <col min="7429" max="7429" width="1.7109375" style="20" customWidth="1"/>
    <col min="7430" max="7430" width="14.140625" style="20" bestFit="1" customWidth="1"/>
    <col min="7431" max="7431" width="14.28515625" style="20" bestFit="1" customWidth="1"/>
    <col min="7432" max="7432" width="11.140625" style="20" customWidth="1"/>
    <col min="7433" max="7672" width="9.140625" style="20"/>
    <col min="7673" max="7673" width="5.7109375" style="20" customWidth="1"/>
    <col min="7674" max="7674" width="26.7109375" style="20" customWidth="1"/>
    <col min="7675" max="7676" width="11.7109375" style="20" customWidth="1"/>
    <col min="7677" max="7677" width="1.7109375" style="20" customWidth="1"/>
    <col min="7678" max="7678" width="13" style="20" customWidth="1"/>
    <col min="7679" max="7679" width="11.85546875" style="20" customWidth="1"/>
    <col min="7680" max="7680" width="11.42578125" style="20" customWidth="1"/>
    <col min="7681" max="7681" width="1.7109375" style="20" customWidth="1"/>
    <col min="7682" max="7682" width="14.28515625" style="20" bestFit="1" customWidth="1"/>
    <col min="7683" max="7683" width="15.85546875" style="20" bestFit="1" customWidth="1"/>
    <col min="7684" max="7684" width="11.140625" style="20" customWidth="1"/>
    <col min="7685" max="7685" width="1.7109375" style="20" customWidth="1"/>
    <col min="7686" max="7686" width="14.140625" style="20" bestFit="1" customWidth="1"/>
    <col min="7687" max="7687" width="14.28515625" style="20" bestFit="1" customWidth="1"/>
    <col min="7688" max="7688" width="11.140625" style="20" customWidth="1"/>
    <col min="7689" max="7928" width="9.140625" style="20"/>
    <col min="7929" max="7929" width="5.7109375" style="20" customWidth="1"/>
    <col min="7930" max="7930" width="26.7109375" style="20" customWidth="1"/>
    <col min="7931" max="7932" width="11.7109375" style="20" customWidth="1"/>
    <col min="7933" max="7933" width="1.7109375" style="20" customWidth="1"/>
    <col min="7934" max="7934" width="13" style="20" customWidth="1"/>
    <col min="7935" max="7935" width="11.85546875" style="20" customWidth="1"/>
    <col min="7936" max="7936" width="11.42578125" style="20" customWidth="1"/>
    <col min="7937" max="7937" width="1.7109375" style="20" customWidth="1"/>
    <col min="7938" max="7938" width="14.28515625" style="20" bestFit="1" customWidth="1"/>
    <col min="7939" max="7939" width="15.85546875" style="20" bestFit="1" customWidth="1"/>
    <col min="7940" max="7940" width="11.140625" style="20" customWidth="1"/>
    <col min="7941" max="7941" width="1.7109375" style="20" customWidth="1"/>
    <col min="7942" max="7942" width="14.140625" style="20" bestFit="1" customWidth="1"/>
    <col min="7943" max="7943" width="14.28515625" style="20" bestFit="1" customWidth="1"/>
    <col min="7944" max="7944" width="11.140625" style="20" customWidth="1"/>
    <col min="7945" max="8184" width="9.140625" style="20"/>
    <col min="8185" max="8185" width="5.7109375" style="20" customWidth="1"/>
    <col min="8186" max="8186" width="26.7109375" style="20" customWidth="1"/>
    <col min="8187" max="8188" width="11.7109375" style="20" customWidth="1"/>
    <col min="8189" max="8189" width="1.7109375" style="20" customWidth="1"/>
    <col min="8190" max="8190" width="13" style="20" customWidth="1"/>
    <col min="8191" max="8191" width="11.85546875" style="20" customWidth="1"/>
    <col min="8192" max="8192" width="11.42578125" style="20" customWidth="1"/>
    <col min="8193" max="8193" width="1.7109375" style="20" customWidth="1"/>
    <col min="8194" max="8194" width="14.28515625" style="20" bestFit="1" customWidth="1"/>
    <col min="8195" max="8195" width="15.85546875" style="20" bestFit="1" customWidth="1"/>
    <col min="8196" max="8196" width="11.140625" style="20" customWidth="1"/>
    <col min="8197" max="8197" width="1.7109375" style="20" customWidth="1"/>
    <col min="8198" max="8198" width="14.140625" style="20" bestFit="1" customWidth="1"/>
    <col min="8199" max="8199" width="14.28515625" style="20" bestFit="1" customWidth="1"/>
    <col min="8200" max="8200" width="11.140625" style="20" customWidth="1"/>
    <col min="8201" max="8440" width="9.140625" style="20"/>
    <col min="8441" max="8441" width="5.7109375" style="20" customWidth="1"/>
    <col min="8442" max="8442" width="26.7109375" style="20" customWidth="1"/>
    <col min="8443" max="8444" width="11.7109375" style="20" customWidth="1"/>
    <col min="8445" max="8445" width="1.7109375" style="20" customWidth="1"/>
    <col min="8446" max="8446" width="13" style="20" customWidth="1"/>
    <col min="8447" max="8447" width="11.85546875" style="20" customWidth="1"/>
    <col min="8448" max="8448" width="11.42578125" style="20" customWidth="1"/>
    <col min="8449" max="8449" width="1.7109375" style="20" customWidth="1"/>
    <col min="8450" max="8450" width="14.28515625" style="20" bestFit="1" customWidth="1"/>
    <col min="8451" max="8451" width="15.85546875" style="20" bestFit="1" customWidth="1"/>
    <col min="8452" max="8452" width="11.140625" style="20" customWidth="1"/>
    <col min="8453" max="8453" width="1.7109375" style="20" customWidth="1"/>
    <col min="8454" max="8454" width="14.140625" style="20" bestFit="1" customWidth="1"/>
    <col min="8455" max="8455" width="14.28515625" style="20" bestFit="1" customWidth="1"/>
    <col min="8456" max="8456" width="11.140625" style="20" customWidth="1"/>
    <col min="8457" max="8696" width="9.140625" style="20"/>
    <col min="8697" max="8697" width="5.7109375" style="20" customWidth="1"/>
    <col min="8698" max="8698" width="26.7109375" style="20" customWidth="1"/>
    <col min="8699" max="8700" width="11.7109375" style="20" customWidth="1"/>
    <col min="8701" max="8701" width="1.7109375" style="20" customWidth="1"/>
    <col min="8702" max="8702" width="13" style="20" customWidth="1"/>
    <col min="8703" max="8703" width="11.85546875" style="20" customWidth="1"/>
    <col min="8704" max="8704" width="11.42578125" style="20" customWidth="1"/>
    <col min="8705" max="8705" width="1.7109375" style="20" customWidth="1"/>
    <col min="8706" max="8706" width="14.28515625" style="20" bestFit="1" customWidth="1"/>
    <col min="8707" max="8707" width="15.85546875" style="20" bestFit="1" customWidth="1"/>
    <col min="8708" max="8708" width="11.140625" style="20" customWidth="1"/>
    <col min="8709" max="8709" width="1.7109375" style="20" customWidth="1"/>
    <col min="8710" max="8710" width="14.140625" style="20" bestFit="1" customWidth="1"/>
    <col min="8711" max="8711" width="14.28515625" style="20" bestFit="1" customWidth="1"/>
    <col min="8712" max="8712" width="11.140625" style="20" customWidth="1"/>
    <col min="8713" max="8952" width="9.140625" style="20"/>
    <col min="8953" max="8953" width="5.7109375" style="20" customWidth="1"/>
    <col min="8954" max="8954" width="26.7109375" style="20" customWidth="1"/>
    <col min="8955" max="8956" width="11.7109375" style="20" customWidth="1"/>
    <col min="8957" max="8957" width="1.7109375" style="20" customWidth="1"/>
    <col min="8958" max="8958" width="13" style="20" customWidth="1"/>
    <col min="8959" max="8959" width="11.85546875" style="20" customWidth="1"/>
    <col min="8960" max="8960" width="11.42578125" style="20" customWidth="1"/>
    <col min="8961" max="8961" width="1.7109375" style="20" customWidth="1"/>
    <col min="8962" max="8962" width="14.28515625" style="20" bestFit="1" customWidth="1"/>
    <col min="8963" max="8963" width="15.85546875" style="20" bestFit="1" customWidth="1"/>
    <col min="8964" max="8964" width="11.140625" style="20" customWidth="1"/>
    <col min="8965" max="8965" width="1.7109375" style="20" customWidth="1"/>
    <col min="8966" max="8966" width="14.140625" style="20" bestFit="1" customWidth="1"/>
    <col min="8967" max="8967" width="14.28515625" style="20" bestFit="1" customWidth="1"/>
    <col min="8968" max="8968" width="11.140625" style="20" customWidth="1"/>
    <col min="8969" max="9208" width="9.140625" style="20"/>
    <col min="9209" max="9209" width="5.7109375" style="20" customWidth="1"/>
    <col min="9210" max="9210" width="26.7109375" style="20" customWidth="1"/>
    <col min="9211" max="9212" width="11.7109375" style="20" customWidth="1"/>
    <col min="9213" max="9213" width="1.7109375" style="20" customWidth="1"/>
    <col min="9214" max="9214" width="13" style="20" customWidth="1"/>
    <col min="9215" max="9215" width="11.85546875" style="20" customWidth="1"/>
    <col min="9216" max="9216" width="11.42578125" style="20" customWidth="1"/>
    <col min="9217" max="9217" width="1.7109375" style="20" customWidth="1"/>
    <col min="9218" max="9218" width="14.28515625" style="20" bestFit="1" customWidth="1"/>
    <col min="9219" max="9219" width="15.85546875" style="20" bestFit="1" customWidth="1"/>
    <col min="9220" max="9220" width="11.140625" style="20" customWidth="1"/>
    <col min="9221" max="9221" width="1.7109375" style="20" customWidth="1"/>
    <col min="9222" max="9222" width="14.140625" style="20" bestFit="1" customWidth="1"/>
    <col min="9223" max="9223" width="14.28515625" style="20" bestFit="1" customWidth="1"/>
    <col min="9224" max="9224" width="11.140625" style="20" customWidth="1"/>
    <col min="9225" max="9464" width="9.140625" style="20"/>
    <col min="9465" max="9465" width="5.7109375" style="20" customWidth="1"/>
    <col min="9466" max="9466" width="26.7109375" style="20" customWidth="1"/>
    <col min="9467" max="9468" width="11.7109375" style="20" customWidth="1"/>
    <col min="9469" max="9469" width="1.7109375" style="20" customWidth="1"/>
    <col min="9470" max="9470" width="13" style="20" customWidth="1"/>
    <col min="9471" max="9471" width="11.85546875" style="20" customWidth="1"/>
    <col min="9472" max="9472" width="11.42578125" style="20" customWidth="1"/>
    <col min="9473" max="9473" width="1.7109375" style="20" customWidth="1"/>
    <col min="9474" max="9474" width="14.28515625" style="20" bestFit="1" customWidth="1"/>
    <col min="9475" max="9475" width="15.85546875" style="20" bestFit="1" customWidth="1"/>
    <col min="9476" max="9476" width="11.140625" style="20" customWidth="1"/>
    <col min="9477" max="9477" width="1.7109375" style="20" customWidth="1"/>
    <col min="9478" max="9478" width="14.140625" style="20" bestFit="1" customWidth="1"/>
    <col min="9479" max="9479" width="14.28515625" style="20" bestFit="1" customWidth="1"/>
    <col min="9480" max="9480" width="11.140625" style="20" customWidth="1"/>
    <col min="9481" max="9720" width="9.140625" style="20"/>
    <col min="9721" max="9721" width="5.7109375" style="20" customWidth="1"/>
    <col min="9722" max="9722" width="26.7109375" style="20" customWidth="1"/>
    <col min="9723" max="9724" width="11.7109375" style="20" customWidth="1"/>
    <col min="9725" max="9725" width="1.7109375" style="20" customWidth="1"/>
    <col min="9726" max="9726" width="13" style="20" customWidth="1"/>
    <col min="9727" max="9727" width="11.85546875" style="20" customWidth="1"/>
    <col min="9728" max="9728" width="11.42578125" style="20" customWidth="1"/>
    <col min="9729" max="9729" width="1.7109375" style="20" customWidth="1"/>
    <col min="9730" max="9730" width="14.28515625" style="20" bestFit="1" customWidth="1"/>
    <col min="9731" max="9731" width="15.85546875" style="20" bestFit="1" customWidth="1"/>
    <col min="9732" max="9732" width="11.140625" style="20" customWidth="1"/>
    <col min="9733" max="9733" width="1.7109375" style="20" customWidth="1"/>
    <col min="9734" max="9734" width="14.140625" style="20" bestFit="1" customWidth="1"/>
    <col min="9735" max="9735" width="14.28515625" style="20" bestFit="1" customWidth="1"/>
    <col min="9736" max="9736" width="11.140625" style="20" customWidth="1"/>
    <col min="9737" max="9976" width="9.140625" style="20"/>
    <col min="9977" max="9977" width="5.7109375" style="20" customWidth="1"/>
    <col min="9978" max="9978" width="26.7109375" style="20" customWidth="1"/>
    <col min="9979" max="9980" width="11.7109375" style="20" customWidth="1"/>
    <col min="9981" max="9981" width="1.7109375" style="20" customWidth="1"/>
    <col min="9982" max="9982" width="13" style="20" customWidth="1"/>
    <col min="9983" max="9983" width="11.85546875" style="20" customWidth="1"/>
    <col min="9984" max="9984" width="11.42578125" style="20" customWidth="1"/>
    <col min="9985" max="9985" width="1.7109375" style="20" customWidth="1"/>
    <col min="9986" max="9986" width="14.28515625" style="20" bestFit="1" customWidth="1"/>
    <col min="9987" max="9987" width="15.85546875" style="20" bestFit="1" customWidth="1"/>
    <col min="9988" max="9988" width="11.140625" style="20" customWidth="1"/>
    <col min="9989" max="9989" width="1.7109375" style="20" customWidth="1"/>
    <col min="9990" max="9990" width="14.140625" style="20" bestFit="1" customWidth="1"/>
    <col min="9991" max="9991" width="14.28515625" style="20" bestFit="1" customWidth="1"/>
    <col min="9992" max="9992" width="11.140625" style="20" customWidth="1"/>
    <col min="9993" max="10232" width="9.140625" style="20"/>
    <col min="10233" max="10233" width="5.7109375" style="20" customWidth="1"/>
    <col min="10234" max="10234" width="26.7109375" style="20" customWidth="1"/>
    <col min="10235" max="10236" width="11.7109375" style="20" customWidth="1"/>
    <col min="10237" max="10237" width="1.7109375" style="20" customWidth="1"/>
    <col min="10238" max="10238" width="13" style="20" customWidth="1"/>
    <col min="10239" max="10239" width="11.85546875" style="20" customWidth="1"/>
    <col min="10240" max="10240" width="11.42578125" style="20" customWidth="1"/>
    <col min="10241" max="10241" width="1.7109375" style="20" customWidth="1"/>
    <col min="10242" max="10242" width="14.28515625" style="20" bestFit="1" customWidth="1"/>
    <col min="10243" max="10243" width="15.85546875" style="20" bestFit="1" customWidth="1"/>
    <col min="10244" max="10244" width="11.140625" style="20" customWidth="1"/>
    <col min="10245" max="10245" width="1.7109375" style="20" customWidth="1"/>
    <col min="10246" max="10246" width="14.140625" style="20" bestFit="1" customWidth="1"/>
    <col min="10247" max="10247" width="14.28515625" style="20" bestFit="1" customWidth="1"/>
    <col min="10248" max="10248" width="11.140625" style="20" customWidth="1"/>
    <col min="10249" max="10488" width="9.140625" style="20"/>
    <col min="10489" max="10489" width="5.7109375" style="20" customWidth="1"/>
    <col min="10490" max="10490" width="26.7109375" style="20" customWidth="1"/>
    <col min="10491" max="10492" width="11.7109375" style="20" customWidth="1"/>
    <col min="10493" max="10493" width="1.7109375" style="20" customWidth="1"/>
    <col min="10494" max="10494" width="13" style="20" customWidth="1"/>
    <col min="10495" max="10495" width="11.85546875" style="20" customWidth="1"/>
    <col min="10496" max="10496" width="11.42578125" style="20" customWidth="1"/>
    <col min="10497" max="10497" width="1.7109375" style="20" customWidth="1"/>
    <col min="10498" max="10498" width="14.28515625" style="20" bestFit="1" customWidth="1"/>
    <col min="10499" max="10499" width="15.85546875" style="20" bestFit="1" customWidth="1"/>
    <col min="10500" max="10500" width="11.140625" style="20" customWidth="1"/>
    <col min="10501" max="10501" width="1.7109375" style="20" customWidth="1"/>
    <col min="10502" max="10502" width="14.140625" style="20" bestFit="1" customWidth="1"/>
    <col min="10503" max="10503" width="14.28515625" style="20" bestFit="1" customWidth="1"/>
    <col min="10504" max="10504" width="11.140625" style="20" customWidth="1"/>
    <col min="10505" max="10744" width="9.140625" style="20"/>
    <col min="10745" max="10745" width="5.7109375" style="20" customWidth="1"/>
    <col min="10746" max="10746" width="26.7109375" style="20" customWidth="1"/>
    <col min="10747" max="10748" width="11.7109375" style="20" customWidth="1"/>
    <col min="10749" max="10749" width="1.7109375" style="20" customWidth="1"/>
    <col min="10750" max="10750" width="13" style="20" customWidth="1"/>
    <col min="10751" max="10751" width="11.85546875" style="20" customWidth="1"/>
    <col min="10752" max="10752" width="11.42578125" style="20" customWidth="1"/>
    <col min="10753" max="10753" width="1.7109375" style="20" customWidth="1"/>
    <col min="10754" max="10754" width="14.28515625" style="20" bestFit="1" customWidth="1"/>
    <col min="10755" max="10755" width="15.85546875" style="20" bestFit="1" customWidth="1"/>
    <col min="10756" max="10756" width="11.140625" style="20" customWidth="1"/>
    <col min="10757" max="10757" width="1.7109375" style="20" customWidth="1"/>
    <col min="10758" max="10758" width="14.140625" style="20" bestFit="1" customWidth="1"/>
    <col min="10759" max="10759" width="14.28515625" style="20" bestFit="1" customWidth="1"/>
    <col min="10760" max="10760" width="11.140625" style="20" customWidth="1"/>
    <col min="10761" max="11000" width="9.140625" style="20"/>
    <col min="11001" max="11001" width="5.7109375" style="20" customWidth="1"/>
    <col min="11002" max="11002" width="26.7109375" style="20" customWidth="1"/>
    <col min="11003" max="11004" width="11.7109375" style="20" customWidth="1"/>
    <col min="11005" max="11005" width="1.7109375" style="20" customWidth="1"/>
    <col min="11006" max="11006" width="13" style="20" customWidth="1"/>
    <col min="11007" max="11007" width="11.85546875" style="20" customWidth="1"/>
    <col min="11008" max="11008" width="11.42578125" style="20" customWidth="1"/>
    <col min="11009" max="11009" width="1.7109375" style="20" customWidth="1"/>
    <col min="11010" max="11010" width="14.28515625" style="20" bestFit="1" customWidth="1"/>
    <col min="11011" max="11011" width="15.85546875" style="20" bestFit="1" customWidth="1"/>
    <col min="11012" max="11012" width="11.140625" style="20" customWidth="1"/>
    <col min="11013" max="11013" width="1.7109375" style="20" customWidth="1"/>
    <col min="11014" max="11014" width="14.140625" style="20" bestFit="1" customWidth="1"/>
    <col min="11015" max="11015" width="14.28515625" style="20" bestFit="1" customWidth="1"/>
    <col min="11016" max="11016" width="11.140625" style="20" customWidth="1"/>
    <col min="11017" max="11256" width="9.140625" style="20"/>
    <col min="11257" max="11257" width="5.7109375" style="20" customWidth="1"/>
    <col min="11258" max="11258" width="26.7109375" style="20" customWidth="1"/>
    <col min="11259" max="11260" width="11.7109375" style="20" customWidth="1"/>
    <col min="11261" max="11261" width="1.7109375" style="20" customWidth="1"/>
    <col min="11262" max="11262" width="13" style="20" customWidth="1"/>
    <col min="11263" max="11263" width="11.85546875" style="20" customWidth="1"/>
    <col min="11264" max="11264" width="11.42578125" style="20" customWidth="1"/>
    <col min="11265" max="11265" width="1.7109375" style="20" customWidth="1"/>
    <col min="11266" max="11266" width="14.28515625" style="20" bestFit="1" customWidth="1"/>
    <col min="11267" max="11267" width="15.85546875" style="20" bestFit="1" customWidth="1"/>
    <col min="11268" max="11268" width="11.140625" style="20" customWidth="1"/>
    <col min="11269" max="11269" width="1.7109375" style="20" customWidth="1"/>
    <col min="11270" max="11270" width="14.140625" style="20" bestFit="1" customWidth="1"/>
    <col min="11271" max="11271" width="14.28515625" style="20" bestFit="1" customWidth="1"/>
    <col min="11272" max="11272" width="11.140625" style="20" customWidth="1"/>
    <col min="11273" max="11512" width="9.140625" style="20"/>
    <col min="11513" max="11513" width="5.7109375" style="20" customWidth="1"/>
    <col min="11514" max="11514" width="26.7109375" style="20" customWidth="1"/>
    <col min="11515" max="11516" width="11.7109375" style="20" customWidth="1"/>
    <col min="11517" max="11517" width="1.7109375" style="20" customWidth="1"/>
    <col min="11518" max="11518" width="13" style="20" customWidth="1"/>
    <col min="11519" max="11519" width="11.85546875" style="20" customWidth="1"/>
    <col min="11520" max="11520" width="11.42578125" style="20" customWidth="1"/>
    <col min="11521" max="11521" width="1.7109375" style="20" customWidth="1"/>
    <col min="11522" max="11522" width="14.28515625" style="20" bestFit="1" customWidth="1"/>
    <col min="11523" max="11523" width="15.85546875" style="20" bestFit="1" customWidth="1"/>
    <col min="11524" max="11524" width="11.140625" style="20" customWidth="1"/>
    <col min="11525" max="11525" width="1.7109375" style="20" customWidth="1"/>
    <col min="11526" max="11526" width="14.140625" style="20" bestFit="1" customWidth="1"/>
    <col min="11527" max="11527" width="14.28515625" style="20" bestFit="1" customWidth="1"/>
    <col min="11528" max="11528" width="11.140625" style="20" customWidth="1"/>
    <col min="11529" max="11768" width="9.140625" style="20"/>
    <col min="11769" max="11769" width="5.7109375" style="20" customWidth="1"/>
    <col min="11770" max="11770" width="26.7109375" style="20" customWidth="1"/>
    <col min="11771" max="11772" width="11.7109375" style="20" customWidth="1"/>
    <col min="11773" max="11773" width="1.7109375" style="20" customWidth="1"/>
    <col min="11774" max="11774" width="13" style="20" customWidth="1"/>
    <col min="11775" max="11775" width="11.85546875" style="20" customWidth="1"/>
    <col min="11776" max="11776" width="11.42578125" style="20" customWidth="1"/>
    <col min="11777" max="11777" width="1.7109375" style="20" customWidth="1"/>
    <col min="11778" max="11778" width="14.28515625" style="20" bestFit="1" customWidth="1"/>
    <col min="11779" max="11779" width="15.85546875" style="20" bestFit="1" customWidth="1"/>
    <col min="11780" max="11780" width="11.140625" style="20" customWidth="1"/>
    <col min="11781" max="11781" width="1.7109375" style="20" customWidth="1"/>
    <col min="11782" max="11782" width="14.140625" style="20" bestFit="1" customWidth="1"/>
    <col min="11783" max="11783" width="14.28515625" style="20" bestFit="1" customWidth="1"/>
    <col min="11784" max="11784" width="11.140625" style="20" customWidth="1"/>
    <col min="11785" max="12024" width="9.140625" style="20"/>
    <col min="12025" max="12025" width="5.7109375" style="20" customWidth="1"/>
    <col min="12026" max="12026" width="26.7109375" style="20" customWidth="1"/>
    <col min="12027" max="12028" width="11.7109375" style="20" customWidth="1"/>
    <col min="12029" max="12029" width="1.7109375" style="20" customWidth="1"/>
    <col min="12030" max="12030" width="13" style="20" customWidth="1"/>
    <col min="12031" max="12031" width="11.85546875" style="20" customWidth="1"/>
    <col min="12032" max="12032" width="11.42578125" style="20" customWidth="1"/>
    <col min="12033" max="12033" width="1.7109375" style="20" customWidth="1"/>
    <col min="12034" max="12034" width="14.28515625" style="20" bestFit="1" customWidth="1"/>
    <col min="12035" max="12035" width="15.85546875" style="20" bestFit="1" customWidth="1"/>
    <col min="12036" max="12036" width="11.140625" style="20" customWidth="1"/>
    <col min="12037" max="12037" width="1.7109375" style="20" customWidth="1"/>
    <col min="12038" max="12038" width="14.140625" style="20" bestFit="1" customWidth="1"/>
    <col min="12039" max="12039" width="14.28515625" style="20" bestFit="1" customWidth="1"/>
    <col min="12040" max="12040" width="11.140625" style="20" customWidth="1"/>
    <col min="12041" max="12280" width="9.140625" style="20"/>
    <col min="12281" max="12281" width="5.7109375" style="20" customWidth="1"/>
    <col min="12282" max="12282" width="26.7109375" style="20" customWidth="1"/>
    <col min="12283" max="12284" width="11.7109375" style="20" customWidth="1"/>
    <col min="12285" max="12285" width="1.7109375" style="20" customWidth="1"/>
    <col min="12286" max="12286" width="13" style="20" customWidth="1"/>
    <col min="12287" max="12287" width="11.85546875" style="20" customWidth="1"/>
    <col min="12288" max="12288" width="11.42578125" style="20" customWidth="1"/>
    <col min="12289" max="12289" width="1.7109375" style="20" customWidth="1"/>
    <col min="12290" max="12290" width="14.28515625" style="20" bestFit="1" customWidth="1"/>
    <col min="12291" max="12291" width="15.85546875" style="20" bestFit="1" customWidth="1"/>
    <col min="12292" max="12292" width="11.140625" style="20" customWidth="1"/>
    <col min="12293" max="12293" width="1.7109375" style="20" customWidth="1"/>
    <col min="12294" max="12294" width="14.140625" style="20" bestFit="1" customWidth="1"/>
    <col min="12295" max="12295" width="14.28515625" style="20" bestFit="1" customWidth="1"/>
    <col min="12296" max="12296" width="11.140625" style="20" customWidth="1"/>
    <col min="12297" max="12536" width="9.140625" style="20"/>
    <col min="12537" max="12537" width="5.7109375" style="20" customWidth="1"/>
    <col min="12538" max="12538" width="26.7109375" style="20" customWidth="1"/>
    <col min="12539" max="12540" width="11.7109375" style="20" customWidth="1"/>
    <col min="12541" max="12541" width="1.7109375" style="20" customWidth="1"/>
    <col min="12542" max="12542" width="13" style="20" customWidth="1"/>
    <col min="12543" max="12543" width="11.85546875" style="20" customWidth="1"/>
    <col min="12544" max="12544" width="11.42578125" style="20" customWidth="1"/>
    <col min="12545" max="12545" width="1.7109375" style="20" customWidth="1"/>
    <col min="12546" max="12546" width="14.28515625" style="20" bestFit="1" customWidth="1"/>
    <col min="12547" max="12547" width="15.85546875" style="20" bestFit="1" customWidth="1"/>
    <col min="12548" max="12548" width="11.140625" style="20" customWidth="1"/>
    <col min="12549" max="12549" width="1.7109375" style="20" customWidth="1"/>
    <col min="12550" max="12550" width="14.140625" style="20" bestFit="1" customWidth="1"/>
    <col min="12551" max="12551" width="14.28515625" style="20" bestFit="1" customWidth="1"/>
    <col min="12552" max="12552" width="11.140625" style="20" customWidth="1"/>
    <col min="12553" max="12792" width="9.140625" style="20"/>
    <col min="12793" max="12793" width="5.7109375" style="20" customWidth="1"/>
    <col min="12794" max="12794" width="26.7109375" style="20" customWidth="1"/>
    <col min="12795" max="12796" width="11.7109375" style="20" customWidth="1"/>
    <col min="12797" max="12797" width="1.7109375" style="20" customWidth="1"/>
    <col min="12798" max="12798" width="13" style="20" customWidth="1"/>
    <col min="12799" max="12799" width="11.85546875" style="20" customWidth="1"/>
    <col min="12800" max="12800" width="11.42578125" style="20" customWidth="1"/>
    <col min="12801" max="12801" width="1.7109375" style="20" customWidth="1"/>
    <col min="12802" max="12802" width="14.28515625" style="20" bestFit="1" customWidth="1"/>
    <col min="12803" max="12803" width="15.85546875" style="20" bestFit="1" customWidth="1"/>
    <col min="12804" max="12804" width="11.140625" style="20" customWidth="1"/>
    <col min="12805" max="12805" width="1.7109375" style="20" customWidth="1"/>
    <col min="12806" max="12806" width="14.140625" style="20" bestFit="1" customWidth="1"/>
    <col min="12807" max="12807" width="14.28515625" style="20" bestFit="1" customWidth="1"/>
    <col min="12808" max="12808" width="11.140625" style="20" customWidth="1"/>
    <col min="12809" max="13048" width="9.140625" style="20"/>
    <col min="13049" max="13049" width="5.7109375" style="20" customWidth="1"/>
    <col min="13050" max="13050" width="26.7109375" style="20" customWidth="1"/>
    <col min="13051" max="13052" width="11.7109375" style="20" customWidth="1"/>
    <col min="13053" max="13053" width="1.7109375" style="20" customWidth="1"/>
    <col min="13054" max="13054" width="13" style="20" customWidth="1"/>
    <col min="13055" max="13055" width="11.85546875" style="20" customWidth="1"/>
    <col min="13056" max="13056" width="11.42578125" style="20" customWidth="1"/>
    <col min="13057" max="13057" width="1.7109375" style="20" customWidth="1"/>
    <col min="13058" max="13058" width="14.28515625" style="20" bestFit="1" customWidth="1"/>
    <col min="13059" max="13059" width="15.85546875" style="20" bestFit="1" customWidth="1"/>
    <col min="13060" max="13060" width="11.140625" style="20" customWidth="1"/>
    <col min="13061" max="13061" width="1.7109375" style="20" customWidth="1"/>
    <col min="13062" max="13062" width="14.140625" style="20" bestFit="1" customWidth="1"/>
    <col min="13063" max="13063" width="14.28515625" style="20" bestFit="1" customWidth="1"/>
    <col min="13064" max="13064" width="11.140625" style="20" customWidth="1"/>
    <col min="13065" max="13304" width="9.140625" style="20"/>
    <col min="13305" max="13305" width="5.7109375" style="20" customWidth="1"/>
    <col min="13306" max="13306" width="26.7109375" style="20" customWidth="1"/>
    <col min="13307" max="13308" width="11.7109375" style="20" customWidth="1"/>
    <col min="13309" max="13309" width="1.7109375" style="20" customWidth="1"/>
    <col min="13310" max="13310" width="13" style="20" customWidth="1"/>
    <col min="13311" max="13311" width="11.85546875" style="20" customWidth="1"/>
    <col min="13312" max="13312" width="11.42578125" style="20" customWidth="1"/>
    <col min="13313" max="13313" width="1.7109375" style="20" customWidth="1"/>
    <col min="13314" max="13314" width="14.28515625" style="20" bestFit="1" customWidth="1"/>
    <col min="13315" max="13315" width="15.85546875" style="20" bestFit="1" customWidth="1"/>
    <col min="13316" max="13316" width="11.140625" style="20" customWidth="1"/>
    <col min="13317" max="13317" width="1.7109375" style="20" customWidth="1"/>
    <col min="13318" max="13318" width="14.140625" style="20" bestFit="1" customWidth="1"/>
    <col min="13319" max="13319" width="14.28515625" style="20" bestFit="1" customWidth="1"/>
    <col min="13320" max="13320" width="11.140625" style="20" customWidth="1"/>
    <col min="13321" max="13560" width="9.140625" style="20"/>
    <col min="13561" max="13561" width="5.7109375" style="20" customWidth="1"/>
    <col min="13562" max="13562" width="26.7109375" style="20" customWidth="1"/>
    <col min="13563" max="13564" width="11.7109375" style="20" customWidth="1"/>
    <col min="13565" max="13565" width="1.7109375" style="20" customWidth="1"/>
    <col min="13566" max="13566" width="13" style="20" customWidth="1"/>
    <col min="13567" max="13567" width="11.85546875" style="20" customWidth="1"/>
    <col min="13568" max="13568" width="11.42578125" style="20" customWidth="1"/>
    <col min="13569" max="13569" width="1.7109375" style="20" customWidth="1"/>
    <col min="13570" max="13570" width="14.28515625" style="20" bestFit="1" customWidth="1"/>
    <col min="13571" max="13571" width="15.85546875" style="20" bestFit="1" customWidth="1"/>
    <col min="13572" max="13572" width="11.140625" style="20" customWidth="1"/>
    <col min="13573" max="13573" width="1.7109375" style="20" customWidth="1"/>
    <col min="13574" max="13574" width="14.140625" style="20" bestFit="1" customWidth="1"/>
    <col min="13575" max="13575" width="14.28515625" style="20" bestFit="1" customWidth="1"/>
    <col min="13576" max="13576" width="11.140625" style="20" customWidth="1"/>
    <col min="13577" max="13816" width="9.140625" style="20"/>
    <col min="13817" max="13817" width="5.7109375" style="20" customWidth="1"/>
    <col min="13818" max="13818" width="26.7109375" style="20" customWidth="1"/>
    <col min="13819" max="13820" width="11.7109375" style="20" customWidth="1"/>
    <col min="13821" max="13821" width="1.7109375" style="20" customWidth="1"/>
    <col min="13822" max="13822" width="13" style="20" customWidth="1"/>
    <col min="13823" max="13823" width="11.85546875" style="20" customWidth="1"/>
    <col min="13824" max="13824" width="11.42578125" style="20" customWidth="1"/>
    <col min="13825" max="13825" width="1.7109375" style="20" customWidth="1"/>
    <col min="13826" max="13826" width="14.28515625" style="20" bestFit="1" customWidth="1"/>
    <col min="13827" max="13827" width="15.85546875" style="20" bestFit="1" customWidth="1"/>
    <col min="13828" max="13828" width="11.140625" style="20" customWidth="1"/>
    <col min="13829" max="13829" width="1.7109375" style="20" customWidth="1"/>
    <col min="13830" max="13830" width="14.140625" style="20" bestFit="1" customWidth="1"/>
    <col min="13831" max="13831" width="14.28515625" style="20" bestFit="1" customWidth="1"/>
    <col min="13832" max="13832" width="11.140625" style="20" customWidth="1"/>
    <col min="13833" max="14072" width="9.140625" style="20"/>
    <col min="14073" max="14073" width="5.7109375" style="20" customWidth="1"/>
    <col min="14074" max="14074" width="26.7109375" style="20" customWidth="1"/>
    <col min="14075" max="14076" width="11.7109375" style="20" customWidth="1"/>
    <col min="14077" max="14077" width="1.7109375" style="20" customWidth="1"/>
    <col min="14078" max="14078" width="13" style="20" customWidth="1"/>
    <col min="14079" max="14079" width="11.85546875" style="20" customWidth="1"/>
    <col min="14080" max="14080" width="11.42578125" style="20" customWidth="1"/>
    <col min="14081" max="14081" width="1.7109375" style="20" customWidth="1"/>
    <col min="14082" max="14082" width="14.28515625" style="20" bestFit="1" customWidth="1"/>
    <col min="14083" max="14083" width="15.85546875" style="20" bestFit="1" customWidth="1"/>
    <col min="14084" max="14084" width="11.140625" style="20" customWidth="1"/>
    <col min="14085" max="14085" width="1.7109375" style="20" customWidth="1"/>
    <col min="14086" max="14086" width="14.140625" style="20" bestFit="1" customWidth="1"/>
    <col min="14087" max="14087" width="14.28515625" style="20" bestFit="1" customWidth="1"/>
    <col min="14088" max="14088" width="11.140625" style="20" customWidth="1"/>
    <col min="14089" max="14328" width="9.140625" style="20"/>
    <col min="14329" max="14329" width="5.7109375" style="20" customWidth="1"/>
    <col min="14330" max="14330" width="26.7109375" style="20" customWidth="1"/>
    <col min="14331" max="14332" width="11.7109375" style="20" customWidth="1"/>
    <col min="14333" max="14333" width="1.7109375" style="20" customWidth="1"/>
    <col min="14334" max="14334" width="13" style="20" customWidth="1"/>
    <col min="14335" max="14335" width="11.85546875" style="20" customWidth="1"/>
    <col min="14336" max="14336" width="11.42578125" style="20" customWidth="1"/>
    <col min="14337" max="14337" width="1.7109375" style="20" customWidth="1"/>
    <col min="14338" max="14338" width="14.28515625" style="20" bestFit="1" customWidth="1"/>
    <col min="14339" max="14339" width="15.85546875" style="20" bestFit="1" customWidth="1"/>
    <col min="14340" max="14340" width="11.140625" style="20" customWidth="1"/>
    <col min="14341" max="14341" width="1.7109375" style="20" customWidth="1"/>
    <col min="14342" max="14342" width="14.140625" style="20" bestFit="1" customWidth="1"/>
    <col min="14343" max="14343" width="14.28515625" style="20" bestFit="1" customWidth="1"/>
    <col min="14344" max="14344" width="11.140625" style="20" customWidth="1"/>
    <col min="14345" max="14584" width="9.140625" style="20"/>
    <col min="14585" max="14585" width="5.7109375" style="20" customWidth="1"/>
    <col min="14586" max="14586" width="26.7109375" style="20" customWidth="1"/>
    <col min="14587" max="14588" width="11.7109375" style="20" customWidth="1"/>
    <col min="14589" max="14589" width="1.7109375" style="20" customWidth="1"/>
    <col min="14590" max="14590" width="13" style="20" customWidth="1"/>
    <col min="14591" max="14591" width="11.85546875" style="20" customWidth="1"/>
    <col min="14592" max="14592" width="11.42578125" style="20" customWidth="1"/>
    <col min="14593" max="14593" width="1.7109375" style="20" customWidth="1"/>
    <col min="14594" max="14594" width="14.28515625" style="20" bestFit="1" customWidth="1"/>
    <col min="14595" max="14595" width="15.85546875" style="20" bestFit="1" customWidth="1"/>
    <col min="14596" max="14596" width="11.140625" style="20" customWidth="1"/>
    <col min="14597" max="14597" width="1.7109375" style="20" customWidth="1"/>
    <col min="14598" max="14598" width="14.140625" style="20" bestFit="1" customWidth="1"/>
    <col min="14599" max="14599" width="14.28515625" style="20" bestFit="1" customWidth="1"/>
    <col min="14600" max="14600" width="11.140625" style="20" customWidth="1"/>
    <col min="14601" max="14840" width="9.140625" style="20"/>
    <col min="14841" max="14841" width="5.7109375" style="20" customWidth="1"/>
    <col min="14842" max="14842" width="26.7109375" style="20" customWidth="1"/>
    <col min="14843" max="14844" width="11.7109375" style="20" customWidth="1"/>
    <col min="14845" max="14845" width="1.7109375" style="20" customWidth="1"/>
    <col min="14846" max="14846" width="13" style="20" customWidth="1"/>
    <col min="14847" max="14847" width="11.85546875" style="20" customWidth="1"/>
    <col min="14848" max="14848" width="11.42578125" style="20" customWidth="1"/>
    <col min="14849" max="14849" width="1.7109375" style="20" customWidth="1"/>
    <col min="14850" max="14850" width="14.28515625" style="20" bestFit="1" customWidth="1"/>
    <col min="14851" max="14851" width="15.85546875" style="20" bestFit="1" customWidth="1"/>
    <col min="14852" max="14852" width="11.140625" style="20" customWidth="1"/>
    <col min="14853" max="14853" width="1.7109375" style="20" customWidth="1"/>
    <col min="14854" max="14854" width="14.140625" style="20" bestFit="1" customWidth="1"/>
    <col min="14855" max="14855" width="14.28515625" style="20" bestFit="1" customWidth="1"/>
    <col min="14856" max="14856" width="11.140625" style="20" customWidth="1"/>
    <col min="14857" max="15096" width="9.140625" style="20"/>
    <col min="15097" max="15097" width="5.7109375" style="20" customWidth="1"/>
    <col min="15098" max="15098" width="26.7109375" style="20" customWidth="1"/>
    <col min="15099" max="15100" width="11.7109375" style="20" customWidth="1"/>
    <col min="15101" max="15101" width="1.7109375" style="20" customWidth="1"/>
    <col min="15102" max="15102" width="13" style="20" customWidth="1"/>
    <col min="15103" max="15103" width="11.85546875" style="20" customWidth="1"/>
    <col min="15104" max="15104" width="11.42578125" style="20" customWidth="1"/>
    <col min="15105" max="15105" width="1.7109375" style="20" customWidth="1"/>
    <col min="15106" max="15106" width="14.28515625" style="20" bestFit="1" customWidth="1"/>
    <col min="15107" max="15107" width="15.85546875" style="20" bestFit="1" customWidth="1"/>
    <col min="15108" max="15108" width="11.140625" style="20" customWidth="1"/>
    <col min="15109" max="15109" width="1.7109375" style="20" customWidth="1"/>
    <col min="15110" max="15110" width="14.140625" style="20" bestFit="1" customWidth="1"/>
    <col min="15111" max="15111" width="14.28515625" style="20" bestFit="1" customWidth="1"/>
    <col min="15112" max="15112" width="11.140625" style="20" customWidth="1"/>
    <col min="15113" max="15352" width="9.140625" style="20"/>
    <col min="15353" max="15353" width="5.7109375" style="20" customWidth="1"/>
    <col min="15354" max="15354" width="26.7109375" style="20" customWidth="1"/>
    <col min="15355" max="15356" width="11.7109375" style="20" customWidth="1"/>
    <col min="15357" max="15357" width="1.7109375" style="20" customWidth="1"/>
    <col min="15358" max="15358" width="13" style="20" customWidth="1"/>
    <col min="15359" max="15359" width="11.85546875" style="20" customWidth="1"/>
    <col min="15360" max="15360" width="11.42578125" style="20" customWidth="1"/>
    <col min="15361" max="15361" width="1.7109375" style="20" customWidth="1"/>
    <col min="15362" max="15362" width="14.28515625" style="20" bestFit="1" customWidth="1"/>
    <col min="15363" max="15363" width="15.85546875" style="20" bestFit="1" customWidth="1"/>
    <col min="15364" max="15364" width="11.140625" style="20" customWidth="1"/>
    <col min="15365" max="15365" width="1.7109375" style="20" customWidth="1"/>
    <col min="15366" max="15366" width="14.140625" style="20" bestFit="1" customWidth="1"/>
    <col min="15367" max="15367" width="14.28515625" style="20" bestFit="1" customWidth="1"/>
    <col min="15368" max="15368" width="11.140625" style="20" customWidth="1"/>
    <col min="15369" max="15608" width="9.140625" style="20"/>
    <col min="15609" max="15609" width="5.7109375" style="20" customWidth="1"/>
    <col min="15610" max="15610" width="26.7109375" style="20" customWidth="1"/>
    <col min="15611" max="15612" width="11.7109375" style="20" customWidth="1"/>
    <col min="15613" max="15613" width="1.7109375" style="20" customWidth="1"/>
    <col min="15614" max="15614" width="13" style="20" customWidth="1"/>
    <col min="15615" max="15615" width="11.85546875" style="20" customWidth="1"/>
    <col min="15616" max="15616" width="11.42578125" style="20" customWidth="1"/>
    <col min="15617" max="15617" width="1.7109375" style="20" customWidth="1"/>
    <col min="15618" max="15618" width="14.28515625" style="20" bestFit="1" customWidth="1"/>
    <col min="15619" max="15619" width="15.85546875" style="20" bestFit="1" customWidth="1"/>
    <col min="15620" max="15620" width="11.140625" style="20" customWidth="1"/>
    <col min="15621" max="15621" width="1.7109375" style="20" customWidth="1"/>
    <col min="15622" max="15622" width="14.140625" style="20" bestFit="1" customWidth="1"/>
    <col min="15623" max="15623" width="14.28515625" style="20" bestFit="1" customWidth="1"/>
    <col min="15624" max="15624" width="11.140625" style="20" customWidth="1"/>
    <col min="15625" max="15864" width="9.140625" style="20"/>
    <col min="15865" max="15865" width="5.7109375" style="20" customWidth="1"/>
    <col min="15866" max="15866" width="26.7109375" style="20" customWidth="1"/>
    <col min="15867" max="15868" width="11.7109375" style="20" customWidth="1"/>
    <col min="15869" max="15869" width="1.7109375" style="20" customWidth="1"/>
    <col min="15870" max="15870" width="13" style="20" customWidth="1"/>
    <col min="15871" max="15871" width="11.85546875" style="20" customWidth="1"/>
    <col min="15872" max="15872" width="11.42578125" style="20" customWidth="1"/>
    <col min="15873" max="15873" width="1.7109375" style="20" customWidth="1"/>
    <col min="15874" max="15874" width="14.28515625" style="20" bestFit="1" customWidth="1"/>
    <col min="15875" max="15875" width="15.85546875" style="20" bestFit="1" customWidth="1"/>
    <col min="15876" max="15876" width="11.140625" style="20" customWidth="1"/>
    <col min="15877" max="15877" width="1.7109375" style="20" customWidth="1"/>
    <col min="15878" max="15878" width="14.140625" style="20" bestFit="1" customWidth="1"/>
    <col min="15879" max="15879" width="14.28515625" style="20" bestFit="1" customWidth="1"/>
    <col min="15880" max="15880" width="11.140625" style="20" customWidth="1"/>
    <col min="15881" max="16120" width="9.140625" style="20"/>
    <col min="16121" max="16121" width="5.7109375" style="20" customWidth="1"/>
    <col min="16122" max="16122" width="26.7109375" style="20" customWidth="1"/>
    <col min="16123" max="16124" width="11.7109375" style="20" customWidth="1"/>
    <col min="16125" max="16125" width="1.7109375" style="20" customWidth="1"/>
    <col min="16126" max="16126" width="13" style="20" customWidth="1"/>
    <col min="16127" max="16127" width="11.85546875" style="20" customWidth="1"/>
    <col min="16128" max="16128" width="11.42578125" style="20" customWidth="1"/>
    <col min="16129" max="16129" width="1.7109375" style="20" customWidth="1"/>
    <col min="16130" max="16130" width="14.28515625" style="20" bestFit="1" customWidth="1"/>
    <col min="16131" max="16131" width="15.85546875" style="20" bestFit="1" customWidth="1"/>
    <col min="16132" max="16132" width="11.140625" style="20" customWidth="1"/>
    <col min="16133" max="16133" width="1.7109375" style="20" customWidth="1"/>
    <col min="16134" max="16134" width="14.140625" style="20" bestFit="1" customWidth="1"/>
    <col min="16135" max="16135" width="14.28515625" style="20" bestFit="1" customWidth="1"/>
    <col min="16136" max="16136" width="11.140625" style="20" customWidth="1"/>
    <col min="16137" max="16384" width="9.140625" style="20"/>
  </cols>
  <sheetData>
    <row r="1" spans="1:10" ht="15">
      <c r="B1" s="19"/>
      <c r="C1" s="155" t="s">
        <v>34</v>
      </c>
      <c r="D1" s="155"/>
      <c r="E1" s="155"/>
      <c r="F1" s="155"/>
      <c r="G1" s="155"/>
      <c r="H1" s="155"/>
      <c r="I1" s="155"/>
      <c r="J1" s="155"/>
    </row>
    <row r="2" spans="1:10">
      <c r="B2" s="21"/>
      <c r="C2" s="155" t="s">
        <v>187</v>
      </c>
      <c r="D2" s="155"/>
      <c r="E2" s="155"/>
      <c r="F2" s="155"/>
      <c r="G2" s="155"/>
      <c r="H2" s="155"/>
      <c r="I2" s="155"/>
      <c r="J2" s="155"/>
    </row>
    <row r="3" spans="1:10">
      <c r="B3" s="22"/>
    </row>
    <row r="4" spans="1:10">
      <c r="E4" s="84" t="s">
        <v>232</v>
      </c>
      <c r="F4" s="84" t="s">
        <v>233</v>
      </c>
      <c r="G4" s="84" t="s">
        <v>234</v>
      </c>
      <c r="H4" s="84" t="s">
        <v>235</v>
      </c>
      <c r="I4" s="111" t="s">
        <v>236</v>
      </c>
      <c r="J4" s="111" t="s">
        <v>237</v>
      </c>
    </row>
    <row r="6" spans="1:10">
      <c r="A6" s="20">
        <v>1</v>
      </c>
      <c r="B6" s="111" t="s">
        <v>186</v>
      </c>
      <c r="C6" s="20" t="s">
        <v>457</v>
      </c>
      <c r="E6" s="85" t="s">
        <v>190</v>
      </c>
      <c r="F6" s="85" t="s">
        <v>33</v>
      </c>
      <c r="G6" s="85" t="s">
        <v>41</v>
      </c>
    </row>
    <row r="7" spans="1:10">
      <c r="A7" s="20">
        <f>+A6+1</f>
        <v>2</v>
      </c>
      <c r="B7" s="65" t="s">
        <v>413</v>
      </c>
      <c r="C7" s="35" t="s">
        <v>288</v>
      </c>
      <c r="E7" s="65" t="s">
        <v>196</v>
      </c>
      <c r="F7" s="65" t="s">
        <v>196</v>
      </c>
      <c r="G7" s="65" t="s">
        <v>212</v>
      </c>
    </row>
    <row r="8" spans="1:10" ht="15">
      <c r="A8" s="20">
        <f t="shared" ref="A8:A58" si="0">+A7+1</f>
        <v>3</v>
      </c>
      <c r="B8" s="20">
        <v>1</v>
      </c>
      <c r="C8" t="s">
        <v>216</v>
      </c>
      <c r="D8" s="113" t="s">
        <v>405</v>
      </c>
      <c r="E8" s="36">
        <f>+'TransPlnt '!F19</f>
        <v>0</v>
      </c>
      <c r="F8" s="36">
        <f>+'TransPlnt '!G19</f>
        <v>0.37063304756521825</v>
      </c>
      <c r="G8" s="36">
        <f>+'TransPlnt '!H19</f>
        <v>0.62936695243478169</v>
      </c>
    </row>
    <row r="9" spans="1:10" ht="15">
      <c r="A9" s="20">
        <f t="shared" si="0"/>
        <v>4</v>
      </c>
      <c r="B9" s="20">
        <v>2</v>
      </c>
      <c r="C9" t="s">
        <v>217</v>
      </c>
      <c r="D9" s="113" t="s">
        <v>406</v>
      </c>
      <c r="E9" s="36">
        <f>+'TransPlnt '!F20</f>
        <v>0</v>
      </c>
      <c r="F9" s="36">
        <f>+'TransPlnt '!G20</f>
        <v>0.74679639675312481</v>
      </c>
      <c r="G9" s="36">
        <f>+'TransPlnt '!H20</f>
        <v>0.25320360324687502</v>
      </c>
    </row>
    <row r="10" spans="1:10" ht="15">
      <c r="A10" s="20">
        <f t="shared" si="0"/>
        <v>5</v>
      </c>
      <c r="B10" s="20">
        <v>3</v>
      </c>
      <c r="C10" t="s">
        <v>218</v>
      </c>
      <c r="D10" s="20" t="s">
        <v>404</v>
      </c>
      <c r="E10" s="36">
        <f>+'TransPlnt '!F21</f>
        <v>0</v>
      </c>
      <c r="F10" s="36">
        <f>+'TransPlnt '!G21</f>
        <v>0.57967428200009796</v>
      </c>
      <c r="G10" s="36">
        <f>+'TransPlnt '!H21</f>
        <v>0.42032571799990198</v>
      </c>
    </row>
    <row r="11" spans="1:10">
      <c r="A11" s="20">
        <f t="shared" si="0"/>
        <v>6</v>
      </c>
      <c r="E11" s="36"/>
      <c r="F11" s="36"/>
      <c r="G11" s="36"/>
    </row>
    <row r="12" spans="1:10">
      <c r="A12" s="20">
        <f t="shared" si="0"/>
        <v>7</v>
      </c>
      <c r="E12" s="64" t="s">
        <v>33</v>
      </c>
      <c r="F12" s="64" t="s">
        <v>33</v>
      </c>
    </row>
    <row r="13" spans="1:10">
      <c r="A13" s="20">
        <f t="shared" si="0"/>
        <v>8</v>
      </c>
      <c r="C13" s="20" t="s">
        <v>312</v>
      </c>
      <c r="E13" s="64" t="s">
        <v>221</v>
      </c>
      <c r="F13" s="64" t="s">
        <v>116</v>
      </c>
    </row>
    <row r="14" spans="1:10">
      <c r="A14" s="20">
        <f t="shared" si="0"/>
        <v>9</v>
      </c>
      <c r="C14" s="35" t="s">
        <v>311</v>
      </c>
      <c r="E14" s="65" t="s">
        <v>212</v>
      </c>
      <c r="F14" s="65" t="s">
        <v>212</v>
      </c>
    </row>
    <row r="15" spans="1:10">
      <c r="A15" s="20">
        <f t="shared" si="0"/>
        <v>10</v>
      </c>
      <c r="B15" s="20">
        <v>10</v>
      </c>
      <c r="C15" s="20" t="s">
        <v>225</v>
      </c>
      <c r="D15" s="20" t="s">
        <v>458</v>
      </c>
      <c r="E15" s="36">
        <v>1</v>
      </c>
      <c r="F15" s="141">
        <v>0</v>
      </c>
    </row>
    <row r="16" spans="1:10">
      <c r="A16" s="20">
        <f t="shared" si="0"/>
        <v>11</v>
      </c>
      <c r="B16" s="20">
        <f>+B15+1</f>
        <v>11</v>
      </c>
      <c r="C16" s="20" t="s">
        <v>222</v>
      </c>
      <c r="D16" s="20" t="s">
        <v>458</v>
      </c>
      <c r="E16" s="36">
        <v>9.0531344206524617E-2</v>
      </c>
      <c r="F16" s="36">
        <v>0.90946865579347536</v>
      </c>
    </row>
    <row r="17" spans="1:9">
      <c r="A17" s="20">
        <f t="shared" si="0"/>
        <v>12</v>
      </c>
      <c r="B17" s="20">
        <f t="shared" ref="B17:B21" si="1">+B16+1</f>
        <v>12</v>
      </c>
      <c r="C17" s="20" t="s">
        <v>223</v>
      </c>
      <c r="D17" s="20" t="s">
        <v>458</v>
      </c>
      <c r="E17" s="36">
        <v>9.0531344206524617E-2</v>
      </c>
      <c r="F17" s="36">
        <v>0.90946865579347536</v>
      </c>
    </row>
    <row r="18" spans="1:9">
      <c r="A18" s="20">
        <f t="shared" si="0"/>
        <v>13</v>
      </c>
      <c r="B18" s="20">
        <f t="shared" si="1"/>
        <v>13</v>
      </c>
      <c r="C18" s="20" t="s">
        <v>224</v>
      </c>
      <c r="D18" s="20" t="s">
        <v>458</v>
      </c>
      <c r="E18" s="36">
        <v>9.0531344206524617E-2</v>
      </c>
      <c r="F18" s="36">
        <v>0.90946865579347536</v>
      </c>
    </row>
    <row r="19" spans="1:9">
      <c r="A19" s="20">
        <f t="shared" si="0"/>
        <v>14</v>
      </c>
      <c r="B19" s="20">
        <f t="shared" si="1"/>
        <v>14</v>
      </c>
      <c r="C19" s="20" t="s">
        <v>227</v>
      </c>
      <c r="D19" s="20" t="s">
        <v>407</v>
      </c>
      <c r="E19" s="36">
        <f>+'TransPlnt '!K21</f>
        <v>0.74165189050006208</v>
      </c>
      <c r="F19" s="36">
        <f>+'TransPlnt '!L21</f>
        <v>0.25834810949993781</v>
      </c>
    </row>
    <row r="20" spans="1:9">
      <c r="A20" s="20">
        <f t="shared" si="0"/>
        <v>15</v>
      </c>
      <c r="B20" s="20">
        <f t="shared" si="1"/>
        <v>15</v>
      </c>
      <c r="C20" s="20" t="s">
        <v>228</v>
      </c>
      <c r="D20" s="20" t="s">
        <v>408</v>
      </c>
      <c r="E20" s="36">
        <f>+'TransPlnt '!K57</f>
        <v>0.59688580799555813</v>
      </c>
      <c r="F20" s="36">
        <f>+'TransPlnt '!L57</f>
        <v>0.40311419200444193</v>
      </c>
    </row>
    <row r="21" spans="1:9">
      <c r="A21" s="20">
        <f t="shared" si="0"/>
        <v>16</v>
      </c>
      <c r="B21" s="20">
        <f t="shared" si="1"/>
        <v>16</v>
      </c>
      <c r="C21" s="20" t="s">
        <v>229</v>
      </c>
      <c r="D21" s="20" t="s">
        <v>409</v>
      </c>
      <c r="E21" s="36">
        <f>+'TransPlnt '!K69</f>
        <v>0.20271404716527966</v>
      </c>
      <c r="F21" s="36">
        <f>+'TransPlnt '!L69</f>
        <v>0.79728595283472026</v>
      </c>
    </row>
    <row r="22" spans="1:9">
      <c r="A22" s="20">
        <f t="shared" si="0"/>
        <v>17</v>
      </c>
      <c r="E22" s="36"/>
      <c r="F22" s="36"/>
    </row>
    <row r="23" spans="1:9">
      <c r="A23" s="20">
        <f t="shared" si="0"/>
        <v>18</v>
      </c>
      <c r="C23" s="20" t="s">
        <v>411</v>
      </c>
      <c r="E23" s="23" t="s">
        <v>115</v>
      </c>
      <c r="F23" s="77" t="s">
        <v>33</v>
      </c>
      <c r="G23" s="77" t="s">
        <v>29</v>
      </c>
      <c r="H23" s="77" t="s">
        <v>26</v>
      </c>
      <c r="I23" s="77" t="s">
        <v>25</v>
      </c>
    </row>
    <row r="24" spans="1:9">
      <c r="A24" s="20">
        <f t="shared" si="0"/>
        <v>19</v>
      </c>
      <c r="C24" s="35" t="s">
        <v>314</v>
      </c>
      <c r="E24" s="44" t="s">
        <v>129</v>
      </c>
      <c r="F24" s="44" t="s">
        <v>129</v>
      </c>
      <c r="G24" s="44" t="s">
        <v>129</v>
      </c>
      <c r="H24" s="44" t="s">
        <v>129</v>
      </c>
      <c r="I24" s="44" t="s">
        <v>129</v>
      </c>
    </row>
    <row r="25" spans="1:9">
      <c r="A25" s="20">
        <f t="shared" si="0"/>
        <v>20</v>
      </c>
      <c r="B25" s="20">
        <v>100</v>
      </c>
      <c r="C25" s="20" t="s">
        <v>253</v>
      </c>
      <c r="E25" s="36">
        <v>1</v>
      </c>
      <c r="F25" s="36">
        <v>0</v>
      </c>
      <c r="G25" s="36">
        <v>0</v>
      </c>
      <c r="H25" s="36">
        <v>0</v>
      </c>
      <c r="I25" s="36">
        <v>0</v>
      </c>
    </row>
    <row r="26" spans="1:9">
      <c r="A26" s="20">
        <f t="shared" si="0"/>
        <v>21</v>
      </c>
      <c r="B26" s="20">
        <f>+B25+1</f>
        <v>101</v>
      </c>
      <c r="C26" s="20" t="s">
        <v>252</v>
      </c>
      <c r="D26" s="20" t="s">
        <v>467</v>
      </c>
      <c r="E26" s="36">
        <f>1-F26</f>
        <v>0.9233449477351916</v>
      </c>
      <c r="F26" s="36">
        <f>+'Delivery Pts'!E22</f>
        <v>7.6655052264808357E-2</v>
      </c>
      <c r="G26" s="36">
        <f>+'Delivery Pts'!E11</f>
        <v>6.9686411149825784E-3</v>
      </c>
      <c r="H26" s="36">
        <f>+'Delivery Pts'!E8</f>
        <v>3.4843205574912892E-3</v>
      </c>
      <c r="I26" s="36">
        <f>+'Delivery Pts'!E14</f>
        <v>6.6202090592334492E-2</v>
      </c>
    </row>
    <row r="27" spans="1:9">
      <c r="A27" s="20">
        <f t="shared" si="0"/>
        <v>22</v>
      </c>
      <c r="B27" s="20">
        <f t="shared" ref="B27:B31" si="2">+B26+1</f>
        <v>102</v>
      </c>
      <c r="C27" s="20" t="s">
        <v>100</v>
      </c>
      <c r="D27" s="20" t="s">
        <v>410</v>
      </c>
      <c r="E27" s="36">
        <f>+F43</f>
        <v>0.98137831986079482</v>
      </c>
      <c r="F27" s="36">
        <f t="shared" ref="F27:I27" si="3">+G43</f>
        <v>1.8621680139205225E-2</v>
      </c>
      <c r="G27" s="36">
        <f t="shared" si="3"/>
        <v>1.1983030797944232E-3</v>
      </c>
      <c r="H27" s="36">
        <f t="shared" si="3"/>
        <v>2.1979882427730043E-5</v>
      </c>
      <c r="I27" s="36">
        <f t="shared" si="3"/>
        <v>1.740139717698307E-2</v>
      </c>
    </row>
    <row r="28" spans="1:9">
      <c r="A28" s="20">
        <f t="shared" si="0"/>
        <v>23</v>
      </c>
      <c r="B28" s="20">
        <f t="shared" si="2"/>
        <v>103</v>
      </c>
      <c r="C28" s="20" t="s">
        <v>254</v>
      </c>
      <c r="D28" s="20" t="s">
        <v>467</v>
      </c>
      <c r="E28" s="36">
        <f>+E26</f>
        <v>0.9233449477351916</v>
      </c>
      <c r="F28" s="36">
        <f t="shared" ref="F28:I28" si="4">+F26</f>
        <v>7.6655052264808357E-2</v>
      </c>
      <c r="G28" s="36">
        <f t="shared" si="4"/>
        <v>6.9686411149825784E-3</v>
      </c>
      <c r="H28" s="36">
        <f t="shared" si="4"/>
        <v>3.4843205574912892E-3</v>
      </c>
      <c r="I28" s="36">
        <f t="shared" si="4"/>
        <v>6.6202090592334492E-2</v>
      </c>
    </row>
    <row r="29" spans="1:9">
      <c r="A29" s="20">
        <f t="shared" si="0"/>
        <v>24</v>
      </c>
      <c r="B29" s="20">
        <f t="shared" si="2"/>
        <v>104</v>
      </c>
      <c r="C29" s="20" t="s">
        <v>255</v>
      </c>
      <c r="D29" s="20" t="s">
        <v>467</v>
      </c>
      <c r="E29" s="36">
        <f>+E26</f>
        <v>0.9233449477351916</v>
      </c>
      <c r="F29" s="36">
        <f t="shared" ref="F29:I29" si="5">+F26</f>
        <v>7.6655052264808357E-2</v>
      </c>
      <c r="G29" s="36">
        <f t="shared" si="5"/>
        <v>6.9686411149825784E-3</v>
      </c>
      <c r="H29" s="36">
        <f t="shared" si="5"/>
        <v>3.4843205574912892E-3</v>
      </c>
      <c r="I29" s="36">
        <f t="shared" si="5"/>
        <v>6.6202090592334492E-2</v>
      </c>
    </row>
    <row r="30" spans="1:9">
      <c r="A30" s="20">
        <f t="shared" si="0"/>
        <v>25</v>
      </c>
      <c r="B30" s="20">
        <f t="shared" si="2"/>
        <v>105</v>
      </c>
      <c r="C30" s="20" t="s">
        <v>256</v>
      </c>
      <c r="D30" s="20" t="s">
        <v>410</v>
      </c>
      <c r="E30" s="36">
        <f>+F43</f>
        <v>0.98137831986079482</v>
      </c>
      <c r="F30" s="36">
        <f t="shared" ref="F30:I30" si="6">+G43</f>
        <v>1.8621680139205225E-2</v>
      </c>
      <c r="G30" s="36">
        <f t="shared" si="6"/>
        <v>1.1983030797944232E-3</v>
      </c>
      <c r="H30" s="36">
        <f t="shared" si="6"/>
        <v>2.1979882427730043E-5</v>
      </c>
      <c r="I30" s="36">
        <f t="shared" si="6"/>
        <v>1.740139717698307E-2</v>
      </c>
    </row>
    <row r="31" spans="1:9">
      <c r="A31" s="20">
        <f t="shared" si="0"/>
        <v>26</v>
      </c>
      <c r="B31" s="20">
        <f t="shared" si="2"/>
        <v>106</v>
      </c>
      <c r="C31" s="20" t="s">
        <v>265</v>
      </c>
      <c r="D31" s="20" t="s">
        <v>410</v>
      </c>
      <c r="E31" s="36">
        <f>+F43</f>
        <v>0.98137831986079482</v>
      </c>
      <c r="F31" s="36">
        <f t="shared" ref="F31:I31" si="7">+G43</f>
        <v>1.8621680139205225E-2</v>
      </c>
      <c r="G31" s="36">
        <f t="shared" si="7"/>
        <v>1.1983030797944232E-3</v>
      </c>
      <c r="H31" s="36">
        <f t="shared" si="7"/>
        <v>2.1979882427730043E-5</v>
      </c>
      <c r="I31" s="36">
        <f t="shared" si="7"/>
        <v>1.740139717698307E-2</v>
      </c>
    </row>
    <row r="32" spans="1:9">
      <c r="A32" s="20">
        <f t="shared" si="0"/>
        <v>27</v>
      </c>
    </row>
    <row r="33" spans="1:10">
      <c r="A33" s="20">
        <f t="shared" si="0"/>
        <v>28</v>
      </c>
    </row>
    <row r="34" spans="1:10">
      <c r="A34" s="20">
        <f t="shared" si="0"/>
        <v>29</v>
      </c>
      <c r="E34" s="23" t="s">
        <v>2</v>
      </c>
      <c r="F34" s="72" t="s">
        <v>115</v>
      </c>
      <c r="G34" s="77" t="s">
        <v>33</v>
      </c>
      <c r="H34" s="77" t="s">
        <v>29</v>
      </c>
      <c r="I34" s="77" t="s">
        <v>26</v>
      </c>
      <c r="J34" s="77" t="s">
        <v>25</v>
      </c>
    </row>
    <row r="35" spans="1:10">
      <c r="A35" s="20">
        <f t="shared" si="0"/>
        <v>30</v>
      </c>
      <c r="C35" s="76" t="s">
        <v>281</v>
      </c>
      <c r="D35" s="143"/>
      <c r="E35" s="44" t="s">
        <v>129</v>
      </c>
      <c r="F35" s="44" t="s">
        <v>129</v>
      </c>
      <c r="G35" s="44" t="s">
        <v>129</v>
      </c>
      <c r="H35" s="44" t="s">
        <v>129</v>
      </c>
      <c r="I35" s="44" t="s">
        <v>129</v>
      </c>
      <c r="J35" s="44" t="s">
        <v>129</v>
      </c>
    </row>
    <row r="36" spans="1:10">
      <c r="A36" s="20">
        <f t="shared" si="0"/>
        <v>31</v>
      </c>
      <c r="B36" s="20">
        <f>+Form1Exp!B23</f>
        <v>561</v>
      </c>
      <c r="C36" s="20" t="str">
        <f>+Form1Exp!C23</f>
        <v>Load Dispatching</v>
      </c>
      <c r="D36" s="20" t="s">
        <v>466</v>
      </c>
      <c r="E36" s="20">
        <f>+Form1Exp!E23</f>
        <v>14881</v>
      </c>
      <c r="F36" s="20">
        <f>+Form1Exp!G23</f>
        <v>13533.772286205676</v>
      </c>
      <c r="G36" s="20">
        <f>+Form1Exp!H23</f>
        <v>1347.2277137943231</v>
      </c>
      <c r="H36" s="20">
        <f>+Form1Exp!I23</f>
        <v>0</v>
      </c>
      <c r="I36" s="20">
        <f>+Form1Exp!J23</f>
        <v>0</v>
      </c>
      <c r="J36" s="20">
        <f>+Form1Exp!K23</f>
        <v>1347.2277137943231</v>
      </c>
    </row>
    <row r="37" spans="1:10">
      <c r="A37" s="20">
        <f t="shared" si="0"/>
        <v>32</v>
      </c>
      <c r="B37" s="20">
        <f>+Form1Exp!B24</f>
        <v>562</v>
      </c>
      <c r="C37" s="20" t="s">
        <v>414</v>
      </c>
      <c r="D37" s="20" t="s">
        <v>465</v>
      </c>
      <c r="E37" s="20">
        <f>+Form1Exp!E24</f>
        <v>122657</v>
      </c>
      <c r="F37" s="20">
        <f>+Form1Exp!G24</f>
        <v>114957.86438106971</v>
      </c>
      <c r="G37" s="20">
        <f>+Form1Exp!H24</f>
        <v>7699.1356189302887</v>
      </c>
      <c r="H37" s="20">
        <f>+Form1Exp!I24</f>
        <v>1394.1715883245304</v>
      </c>
      <c r="I37" s="20">
        <f>+Form1Exp!J24</f>
        <v>579.40060292175758</v>
      </c>
      <c r="J37" s="20">
        <f>+Form1Exp!K24</f>
        <v>5725.563427684001</v>
      </c>
    </row>
    <row r="38" spans="1:10">
      <c r="A38" s="20">
        <f t="shared" si="0"/>
        <v>33</v>
      </c>
      <c r="B38" s="20">
        <f>+Form1Exp!B25</f>
        <v>562</v>
      </c>
      <c r="C38" s="20" t="str">
        <f>+Form1Exp!C25</f>
        <v>Station Expense GSEC</v>
      </c>
      <c r="D38" s="20" t="s">
        <v>468</v>
      </c>
      <c r="E38" s="20">
        <f>+Form1Exp!E25</f>
        <v>3561</v>
      </c>
      <c r="F38" s="20">
        <f>+Form1Exp!G25</f>
        <v>3288.0313588850172</v>
      </c>
      <c r="G38" s="20">
        <f>+Form1Exp!H25</f>
        <v>272.96864111498257</v>
      </c>
      <c r="H38" s="20">
        <f>+Form1Exp!I25</f>
        <v>24.815331010452962</v>
      </c>
      <c r="I38" s="20">
        <f>+Form1Exp!J25</f>
        <v>12.407665505226481</v>
      </c>
      <c r="J38" s="20">
        <f>+Form1Exp!K25</f>
        <v>235.74564459930312</v>
      </c>
    </row>
    <row r="39" spans="1:10">
      <c r="A39" s="20">
        <f t="shared" si="0"/>
        <v>34</v>
      </c>
      <c r="B39" s="20">
        <f>+Form1Exp!B26</f>
        <v>565</v>
      </c>
      <c r="C39" s="20" t="str">
        <f>+Form1Exp!C26</f>
        <v>Transmission by Others</v>
      </c>
      <c r="D39" s="20" t="s">
        <v>469</v>
      </c>
      <c r="E39" s="20">
        <f>+Form1Exp!E26</f>
        <v>26100962</v>
      </c>
      <c r="F39" s="20">
        <f>+Form1Exp!G26</f>
        <v>26100962</v>
      </c>
      <c r="G39" s="20">
        <f>+Form1Exp!H26</f>
        <v>0</v>
      </c>
      <c r="H39" s="20">
        <f>+Form1Exp!I26</f>
        <v>0</v>
      </c>
      <c r="I39" s="20">
        <f>+Form1Exp!J26</f>
        <v>0</v>
      </c>
      <c r="J39" s="20">
        <f>+Form1Exp!K26</f>
        <v>0</v>
      </c>
    </row>
    <row r="40" spans="1:10">
      <c r="A40" s="20">
        <f t="shared" si="0"/>
        <v>35</v>
      </c>
      <c r="B40" s="20">
        <f>+Form1Exp!B30</f>
        <v>570</v>
      </c>
      <c r="C40" s="20" t="s">
        <v>415</v>
      </c>
      <c r="D40" s="20" t="s">
        <v>470</v>
      </c>
      <c r="E40" s="20">
        <f>+Form1Exp!E30</f>
        <v>600143</v>
      </c>
      <c r="F40" s="20">
        <f>+Form1Exp!G30</f>
        <v>143141.00439986645</v>
      </c>
      <c r="G40" s="20">
        <f>+Form1Exp!H30</f>
        <v>457001.99560013355</v>
      </c>
      <c r="H40" s="20">
        <f>+Form1Exp!I30</f>
        <v>13557.035600133559</v>
      </c>
      <c r="I40" s="20">
        <f>+Form1Exp!J30</f>
        <v>0</v>
      </c>
      <c r="J40" s="20">
        <f>+Form1Exp!K30</f>
        <v>443444.96</v>
      </c>
    </row>
    <row r="41" spans="1:10">
      <c r="A41" s="20">
        <f t="shared" si="0"/>
        <v>36</v>
      </c>
      <c r="B41" s="20">
        <f>+Form1Exp!B31</f>
        <v>571</v>
      </c>
      <c r="C41" s="20" t="s">
        <v>416</v>
      </c>
      <c r="D41" s="20" t="s">
        <v>471</v>
      </c>
      <c r="E41" s="20">
        <f>+Form1Exp!E31</f>
        <v>82793</v>
      </c>
      <c r="F41" s="20">
        <f>+Form1Exp!G31</f>
        <v>47725.645690912934</v>
      </c>
      <c r="G41" s="20">
        <f>+Form1Exp!H31</f>
        <v>35067.354309087066</v>
      </c>
      <c r="H41" s="20">
        <f>+Form1Exp!I31</f>
        <v>17288.284309087067</v>
      </c>
      <c r="I41" s="20">
        <f>+Form1Exp!J31</f>
        <v>0</v>
      </c>
      <c r="J41" s="20">
        <f>+Form1Exp!K31</f>
        <v>17779.07</v>
      </c>
    </row>
    <row r="42" spans="1:10">
      <c r="A42" s="20">
        <f t="shared" si="0"/>
        <v>37</v>
      </c>
      <c r="C42" s="20" t="s">
        <v>2</v>
      </c>
      <c r="E42" s="20">
        <f>SUM(E36:E41)</f>
        <v>26924997</v>
      </c>
      <c r="F42" s="20">
        <f>SUM(F36:F41)</f>
        <v>26423608.318116941</v>
      </c>
      <c r="G42" s="20">
        <f t="shared" ref="G42:J42" si="8">SUM(G36:G41)</f>
        <v>501388.68188306026</v>
      </c>
      <c r="H42" s="20">
        <f t="shared" si="8"/>
        <v>32264.306828555607</v>
      </c>
      <c r="I42" s="20">
        <f t="shared" si="8"/>
        <v>591.80826842698411</v>
      </c>
      <c r="J42" s="20">
        <f t="shared" si="8"/>
        <v>468532.56678607763</v>
      </c>
    </row>
    <row r="43" spans="1:10">
      <c r="A43" s="20">
        <f t="shared" si="0"/>
        <v>38</v>
      </c>
      <c r="C43" s="20" t="s">
        <v>2</v>
      </c>
      <c r="F43" s="36">
        <f>+F42/$E42</f>
        <v>0.98137831986079482</v>
      </c>
      <c r="G43" s="36">
        <f t="shared" ref="G43:J43" si="9">+G42/$E42</f>
        <v>1.8621680139205225E-2</v>
      </c>
      <c r="H43" s="36">
        <f t="shared" si="9"/>
        <v>1.1983030797944232E-3</v>
      </c>
      <c r="I43" s="36">
        <f t="shared" si="9"/>
        <v>2.1979882427730043E-5</v>
      </c>
      <c r="J43" s="36">
        <f t="shared" si="9"/>
        <v>1.740139717698307E-2</v>
      </c>
    </row>
    <row r="44" spans="1:10">
      <c r="A44" s="20">
        <f t="shared" si="0"/>
        <v>39</v>
      </c>
      <c r="G44" s="36"/>
      <c r="H44" s="36"/>
      <c r="I44" s="36"/>
      <c r="J44" s="36"/>
    </row>
    <row r="45" spans="1:10">
      <c r="A45" s="20">
        <f t="shared" si="0"/>
        <v>40</v>
      </c>
      <c r="C45" s="76" t="s">
        <v>175</v>
      </c>
      <c r="D45" s="143"/>
      <c r="G45" s="36"/>
      <c r="H45" s="36"/>
      <c r="I45" s="36"/>
      <c r="J45" s="36"/>
    </row>
    <row r="46" spans="1:10">
      <c r="A46" s="20">
        <f t="shared" si="0"/>
        <v>41</v>
      </c>
      <c r="C46" s="20" t="s">
        <v>181</v>
      </c>
      <c r="D46" s="20" t="s">
        <v>472</v>
      </c>
      <c r="E46" s="75">
        <f>+'Form 1 Plant '!F12</f>
        <v>2240780</v>
      </c>
      <c r="F46" s="75">
        <f>+'Form 1 Plant '!H12</f>
        <v>2240780</v>
      </c>
      <c r="G46" s="75">
        <f>+'Form 1 Plant '!I12</f>
        <v>0</v>
      </c>
      <c r="H46" s="75">
        <f>+'Form 1 Plant '!J12</f>
        <v>0</v>
      </c>
      <c r="I46" s="75">
        <f>+'Form 1 Plant '!K12</f>
        <v>0</v>
      </c>
      <c r="J46" s="75">
        <f>+'Form 1 Plant '!L12</f>
        <v>0</v>
      </c>
    </row>
    <row r="47" spans="1:10">
      <c r="A47" s="20">
        <f t="shared" si="0"/>
        <v>42</v>
      </c>
      <c r="C47" s="20" t="s">
        <v>114</v>
      </c>
      <c r="D47" s="20" t="s">
        <v>473</v>
      </c>
      <c r="E47" s="75">
        <f>+'Form 1 Plant '!F22</f>
        <v>52264015.620000005</v>
      </c>
      <c r="F47" s="75">
        <f>+'Form 1 Plant '!H22</f>
        <v>40240171.863558508</v>
      </c>
      <c r="G47" s="75">
        <f>+'Form 1 Plant '!I22</f>
        <v>12023843.756441491</v>
      </c>
      <c r="H47" s="75">
        <f>+'Form 1 Plant '!J22</f>
        <v>3430716.8700145595</v>
      </c>
      <c r="I47" s="75">
        <f>+'Form 1 Plant '!K22</f>
        <v>3299845.3381198505</v>
      </c>
      <c r="J47" s="75">
        <f>+'Form 1 Plant '!L22</f>
        <v>5293281.5483070817</v>
      </c>
    </row>
    <row r="48" spans="1:10">
      <c r="A48" s="20">
        <f t="shared" si="0"/>
        <v>43</v>
      </c>
      <c r="C48" s="20" t="s">
        <v>2</v>
      </c>
      <c r="E48" s="75">
        <f t="shared" ref="E48:J48" si="10">SUM(E46:E47)</f>
        <v>54504795.620000005</v>
      </c>
      <c r="F48" s="75">
        <f t="shared" si="10"/>
        <v>42480951.863558508</v>
      </c>
      <c r="G48" s="75">
        <f t="shared" si="10"/>
        <v>12023843.756441491</v>
      </c>
      <c r="H48" s="75">
        <f t="shared" si="10"/>
        <v>3430716.8700145595</v>
      </c>
      <c r="I48" s="75">
        <f t="shared" si="10"/>
        <v>3299845.3381198505</v>
      </c>
      <c r="J48" s="75">
        <f t="shared" si="10"/>
        <v>5293281.5483070817</v>
      </c>
    </row>
    <row r="49" spans="1:10">
      <c r="A49" s="20">
        <f t="shared" si="0"/>
        <v>44</v>
      </c>
      <c r="C49" s="20" t="s">
        <v>2</v>
      </c>
      <c r="F49" s="36">
        <f>+F48/$E48</f>
        <v>0.77939842504373202</v>
      </c>
      <c r="G49" s="36">
        <f t="shared" ref="G49" si="11">+G48/$E48</f>
        <v>0.22060157495626787</v>
      </c>
      <c r="H49" s="36">
        <f t="shared" ref="H49" si="12">+H48/$E48</f>
        <v>6.2943394814890224E-2</v>
      </c>
      <c r="I49" s="36">
        <f t="shared" ref="I49" si="13">+I48/$E48</f>
        <v>6.0542293583227463E-2</v>
      </c>
      <c r="J49" s="36">
        <f t="shared" ref="J49" si="14">+J48/$E48</f>
        <v>9.7115886558150191E-2</v>
      </c>
    </row>
    <row r="50" spans="1:10">
      <c r="A50" s="20">
        <f t="shared" si="0"/>
        <v>45</v>
      </c>
      <c r="G50" s="36"/>
      <c r="H50" s="36"/>
      <c r="I50" s="36"/>
      <c r="J50" s="36"/>
    </row>
    <row r="51" spans="1:10">
      <c r="A51" s="20">
        <f t="shared" si="0"/>
        <v>46</v>
      </c>
      <c r="C51" s="76" t="s">
        <v>257</v>
      </c>
      <c r="D51" s="143"/>
    </row>
    <row r="52" spans="1:10" ht="15">
      <c r="A52" s="20">
        <f t="shared" si="0"/>
        <v>47</v>
      </c>
      <c r="C52" s="20" t="s">
        <v>258</v>
      </c>
      <c r="D52" t="s">
        <v>459</v>
      </c>
      <c r="E52" s="130">
        <v>202404</v>
      </c>
      <c r="F52" s="36">
        <f>+E52/(SUM(E$52:E$56))</f>
        <v>0.39362051764742489</v>
      </c>
    </row>
    <row r="53" spans="1:10" ht="15">
      <c r="A53" s="20">
        <f t="shared" si="0"/>
        <v>48</v>
      </c>
      <c r="C53" s="20" t="s">
        <v>259</v>
      </c>
      <c r="D53" t="s">
        <v>460</v>
      </c>
      <c r="E53" s="130">
        <v>311807</v>
      </c>
      <c r="F53" s="36">
        <f>+E53/(SUM(E$52:E$56))</f>
        <v>0.60637948235257511</v>
      </c>
    </row>
    <row r="54" spans="1:10" ht="15">
      <c r="A54" s="20">
        <f t="shared" si="0"/>
        <v>49</v>
      </c>
      <c r="C54" s="20" t="s">
        <v>263</v>
      </c>
      <c r="D54" t="s">
        <v>461</v>
      </c>
      <c r="E54" s="130">
        <v>0</v>
      </c>
      <c r="F54" s="36">
        <f>+E54/(SUM(E$52:E$56))</f>
        <v>0</v>
      </c>
    </row>
    <row r="55" spans="1:10" ht="15">
      <c r="A55" s="20">
        <f t="shared" si="0"/>
        <v>50</v>
      </c>
      <c r="C55" s="20" t="s">
        <v>260</v>
      </c>
      <c r="D55" t="s">
        <v>462</v>
      </c>
      <c r="E55" s="130">
        <v>0</v>
      </c>
      <c r="F55" s="36">
        <f>+E55/(SUM(E$52:E$56))</f>
        <v>0</v>
      </c>
    </row>
    <row r="56" spans="1:10" ht="15">
      <c r="A56" s="20">
        <f t="shared" si="0"/>
        <v>51</v>
      </c>
      <c r="C56" s="20" t="s">
        <v>261</v>
      </c>
      <c r="D56" t="s">
        <v>463</v>
      </c>
      <c r="E56" s="130">
        <v>0</v>
      </c>
      <c r="F56" s="36">
        <f>+E56/(SUM(E$52:E$56))</f>
        <v>0</v>
      </c>
    </row>
    <row r="57" spans="1:10" ht="15">
      <c r="A57" s="20">
        <f t="shared" si="0"/>
        <v>52</v>
      </c>
      <c r="C57" s="20" t="s">
        <v>262</v>
      </c>
      <c r="D57" t="s">
        <v>464</v>
      </c>
      <c r="E57" s="130">
        <v>2128009</v>
      </c>
    </row>
    <row r="58" spans="1:10">
      <c r="A58" s="20">
        <f t="shared" si="0"/>
        <v>53</v>
      </c>
      <c r="C58" s="20" t="s">
        <v>264</v>
      </c>
      <c r="E58" s="75">
        <f>SUM(E52:E57)</f>
        <v>2642220</v>
      </c>
      <c r="F58" s="36">
        <f>SUM(F52:F57)</f>
        <v>1</v>
      </c>
    </row>
    <row r="60" spans="1:10">
      <c r="C60" s="20" t="s">
        <v>477</v>
      </c>
    </row>
  </sheetData>
  <mergeCells count="2">
    <mergeCell ref="C1:J1"/>
    <mergeCell ref="C2:J2"/>
  </mergeCells>
  <printOptions horizontalCentered="1"/>
  <pageMargins left="0.5" right="0.5" top="1" bottom="1" header="0.5" footer="0.5"/>
  <pageSetup scale="85" fitToHeight="2" orientation="landscape" r:id="rId1"/>
  <headerFooter alignWithMargins="0">
    <oddHeader xml:space="preserve">&amp;RSchedule F1.0
</oddHeader>
    <oddFooter>&amp;R&amp;14&amp;D</oddFooter>
  </headerFooter>
  <rowBreaks count="1" manualBreakCount="1">
    <brk id="33" max="16383" man="1"/>
  </rowBreaks>
</worksheet>
</file>

<file path=xl/worksheets/sheet8.xml><?xml version="1.0" encoding="utf-8"?>
<worksheet xmlns="http://schemas.openxmlformats.org/spreadsheetml/2006/main" xmlns:r="http://schemas.openxmlformats.org/officeDocument/2006/relationships">
  <sheetPr>
    <tabColor rgb="FF00B0F0"/>
  </sheetPr>
  <dimension ref="A1:R63"/>
  <sheetViews>
    <sheetView view="pageLayout" topLeftCell="A67" workbookViewId="0">
      <selection activeCell="A2" sqref="A2"/>
    </sheetView>
  </sheetViews>
  <sheetFormatPr defaultRowHeight="15"/>
  <cols>
    <col min="1" max="1" width="5.85546875" customWidth="1"/>
    <col min="2" max="2" width="21.85546875" customWidth="1"/>
    <col min="3" max="3" width="10.85546875" customWidth="1"/>
    <col min="4" max="4" width="9.7109375" customWidth="1"/>
    <col min="5" max="5" width="12" customWidth="1"/>
    <col min="6" max="7" width="13.7109375" bestFit="1" customWidth="1"/>
    <col min="8" max="8" width="12.5703125" bestFit="1" customWidth="1"/>
    <col min="9" max="13" width="13.7109375" bestFit="1" customWidth="1"/>
    <col min="14" max="14" width="12.5703125" bestFit="1" customWidth="1"/>
    <col min="15" max="16" width="13.7109375" bestFit="1" customWidth="1"/>
    <col min="17" max="17" width="15.28515625" bestFit="1" customWidth="1"/>
    <col min="18" max="18" width="11.5703125" bestFit="1" customWidth="1"/>
  </cols>
  <sheetData>
    <row r="1" spans="1:18">
      <c r="B1" s="152" t="s">
        <v>34</v>
      </c>
      <c r="C1" s="152"/>
      <c r="D1" s="152"/>
      <c r="E1" s="152"/>
      <c r="F1" s="152"/>
      <c r="G1" s="152"/>
      <c r="H1" s="152"/>
      <c r="I1" s="152"/>
      <c r="J1" s="152"/>
      <c r="K1" s="152"/>
      <c r="L1" s="152"/>
      <c r="M1" s="152"/>
      <c r="N1" s="152"/>
      <c r="O1" s="152"/>
      <c r="P1" s="152"/>
      <c r="Q1" s="152"/>
      <c r="R1" s="152"/>
    </row>
    <row r="2" spans="1:18">
      <c r="B2" s="152" t="s">
        <v>131</v>
      </c>
      <c r="C2" s="152"/>
      <c r="D2" s="152"/>
      <c r="E2" s="152"/>
      <c r="F2" s="152"/>
      <c r="G2" s="152"/>
      <c r="H2" s="152"/>
      <c r="I2" s="152"/>
      <c r="J2" s="152"/>
      <c r="K2" s="152"/>
      <c r="L2" s="152"/>
      <c r="M2" s="152"/>
      <c r="N2" s="152"/>
      <c r="O2" s="152"/>
      <c r="P2" s="152"/>
      <c r="Q2" s="152"/>
      <c r="R2" s="152"/>
    </row>
    <row r="4" spans="1:18">
      <c r="B4" s="135" t="s">
        <v>449</v>
      </c>
    </row>
    <row r="5" spans="1:18">
      <c r="D5" s="137" t="s">
        <v>448</v>
      </c>
      <c r="E5" s="7" t="s">
        <v>157</v>
      </c>
    </row>
    <row r="6" spans="1:18">
      <c r="D6" s="7" t="s">
        <v>130</v>
      </c>
      <c r="E6" s="7" t="s">
        <v>40</v>
      </c>
      <c r="F6" s="7" t="s">
        <v>9</v>
      </c>
      <c r="G6" s="7" t="s">
        <v>10</v>
      </c>
      <c r="H6" s="7" t="s">
        <v>11</v>
      </c>
      <c r="I6" s="7" t="s">
        <v>12</v>
      </c>
      <c r="J6" s="7" t="s">
        <v>13</v>
      </c>
      <c r="K6" s="7" t="s">
        <v>14</v>
      </c>
      <c r="L6" s="7" t="s">
        <v>15</v>
      </c>
      <c r="M6" s="7" t="s">
        <v>16</v>
      </c>
      <c r="N6" s="7" t="s">
        <v>17</v>
      </c>
      <c r="O6" s="7" t="s">
        <v>18</v>
      </c>
      <c r="P6" s="7" t="s">
        <v>19</v>
      </c>
      <c r="Q6" s="7" t="s">
        <v>20</v>
      </c>
      <c r="R6" s="7" t="s">
        <v>2</v>
      </c>
    </row>
    <row r="7" spans="1:18">
      <c r="D7" s="18" t="s">
        <v>113</v>
      </c>
      <c r="E7" s="18" t="s">
        <v>113</v>
      </c>
      <c r="F7" s="18" t="s">
        <v>129</v>
      </c>
      <c r="G7" s="18" t="s">
        <v>129</v>
      </c>
      <c r="H7" s="18" t="s">
        <v>129</v>
      </c>
      <c r="I7" s="18" t="s">
        <v>129</v>
      </c>
      <c r="J7" s="18" t="s">
        <v>129</v>
      </c>
      <c r="K7" s="18" t="s">
        <v>129</v>
      </c>
      <c r="L7" s="18" t="s">
        <v>129</v>
      </c>
      <c r="M7" s="18" t="s">
        <v>129</v>
      </c>
      <c r="N7" s="18" t="s">
        <v>129</v>
      </c>
      <c r="O7" s="18" t="s">
        <v>129</v>
      </c>
      <c r="P7" s="18" t="s">
        <v>129</v>
      </c>
      <c r="Q7" s="18" t="s">
        <v>129</v>
      </c>
      <c r="R7" s="18" t="s">
        <v>129</v>
      </c>
    </row>
    <row r="8" spans="1:18">
      <c r="A8" s="42">
        <v>1</v>
      </c>
      <c r="B8" s="6" t="s">
        <v>164</v>
      </c>
      <c r="C8" s="7"/>
      <c r="F8" s="5"/>
      <c r="G8" s="5"/>
      <c r="H8" s="5"/>
      <c r="I8" s="5"/>
      <c r="J8" s="5"/>
      <c r="K8" s="5"/>
      <c r="L8" s="5"/>
      <c r="M8" s="5"/>
      <c r="N8" s="5"/>
      <c r="O8" s="5"/>
      <c r="P8" s="5"/>
      <c r="Q8" s="5"/>
      <c r="R8" s="5"/>
    </row>
    <row r="9" spans="1:18">
      <c r="A9" s="42">
        <f>+A8+1</f>
        <v>2</v>
      </c>
      <c r="B9" t="s">
        <v>127</v>
      </c>
      <c r="C9" s="7" t="s">
        <v>8</v>
      </c>
      <c r="D9" s="7">
        <v>1</v>
      </c>
      <c r="E9" s="7" t="s">
        <v>158</v>
      </c>
      <c r="F9" s="114">
        <v>5275</v>
      </c>
      <c r="G9" s="114">
        <v>4910</v>
      </c>
      <c r="H9" s="114">
        <v>4606</v>
      </c>
      <c r="I9" s="114">
        <v>3818</v>
      </c>
      <c r="J9" s="114">
        <v>4269</v>
      </c>
      <c r="K9" s="114">
        <v>5116</v>
      </c>
      <c r="L9" s="114">
        <v>5233</v>
      </c>
      <c r="M9" s="114">
        <v>5615</v>
      </c>
      <c r="N9" s="114">
        <v>4920</v>
      </c>
      <c r="O9" s="114">
        <v>3688</v>
      </c>
      <c r="P9" s="114">
        <v>4271</v>
      </c>
      <c r="Q9" s="114">
        <v>4807</v>
      </c>
      <c r="R9" s="5">
        <f>SUM(F9:Q9)</f>
        <v>56528</v>
      </c>
    </row>
    <row r="10" spans="1:18">
      <c r="A10" s="42">
        <f t="shared" ref="A10:A61" si="0">+A9+1</f>
        <v>3</v>
      </c>
      <c r="B10" t="s">
        <v>128</v>
      </c>
      <c r="C10" s="7" t="s">
        <v>8</v>
      </c>
      <c r="D10" s="7">
        <v>1</v>
      </c>
      <c r="E10" s="7" t="s">
        <v>158</v>
      </c>
      <c r="F10" s="114">
        <v>5698</v>
      </c>
      <c r="G10" s="114">
        <v>8249</v>
      </c>
      <c r="H10" s="114">
        <v>7050</v>
      </c>
      <c r="I10" s="114">
        <v>7679</v>
      </c>
      <c r="J10" s="114">
        <v>7716</v>
      </c>
      <c r="K10" s="114">
        <v>7930</v>
      </c>
      <c r="L10" s="114">
        <v>7190</v>
      </c>
      <c r="M10" s="114">
        <v>6779</v>
      </c>
      <c r="N10" s="114">
        <v>6607</v>
      </c>
      <c r="O10" s="114">
        <v>6546</v>
      </c>
      <c r="P10" s="114">
        <v>7365</v>
      </c>
      <c r="Q10" s="114">
        <v>7356</v>
      </c>
      <c r="R10" s="5">
        <f>SUM(F10:Q10)</f>
        <v>86165</v>
      </c>
    </row>
    <row r="11" spans="1:18">
      <c r="A11" s="42">
        <f t="shared" si="0"/>
        <v>4</v>
      </c>
      <c r="B11" t="s">
        <v>2</v>
      </c>
      <c r="C11" s="7" t="s">
        <v>8</v>
      </c>
      <c r="D11" s="7"/>
      <c r="E11" s="7"/>
      <c r="F11" s="114">
        <v>10973</v>
      </c>
      <c r="G11" s="114">
        <v>13159</v>
      </c>
      <c r="H11" s="114">
        <v>11656</v>
      </c>
      <c r="I11" s="114">
        <v>11497</v>
      </c>
      <c r="J11" s="114">
        <v>11985</v>
      </c>
      <c r="K11" s="114">
        <v>13046</v>
      </c>
      <c r="L11" s="114">
        <v>12423</v>
      </c>
      <c r="M11" s="114">
        <v>12394</v>
      </c>
      <c r="N11" s="114">
        <v>11527</v>
      </c>
      <c r="O11" s="114">
        <v>10234</v>
      </c>
      <c r="P11" s="114">
        <v>11636</v>
      </c>
      <c r="Q11" s="114">
        <v>12163</v>
      </c>
      <c r="R11" s="5">
        <f>SUM(F11:Q11)</f>
        <v>142693</v>
      </c>
    </row>
    <row r="12" spans="1:18">
      <c r="A12" s="42">
        <f t="shared" si="0"/>
        <v>5</v>
      </c>
      <c r="B12" t="s">
        <v>160</v>
      </c>
      <c r="C12" s="7"/>
      <c r="D12" s="7"/>
      <c r="E12" s="7"/>
      <c r="F12" s="5"/>
      <c r="G12" s="5"/>
      <c r="H12" s="5"/>
      <c r="I12" s="5"/>
      <c r="J12" s="5"/>
      <c r="K12" s="5"/>
      <c r="L12" s="5"/>
      <c r="M12" s="5"/>
      <c r="N12" s="5"/>
      <c r="O12" s="5"/>
      <c r="P12" s="5"/>
      <c r="Q12" s="5"/>
      <c r="R12" s="5"/>
    </row>
    <row r="13" spans="1:18">
      <c r="A13" s="42">
        <f t="shared" si="0"/>
        <v>6</v>
      </c>
      <c r="B13" s="8" t="s">
        <v>161</v>
      </c>
      <c r="C13" s="7"/>
      <c r="D13" s="7"/>
      <c r="E13" s="7"/>
      <c r="F13" s="5">
        <f>SUM(F11:F12)</f>
        <v>10973</v>
      </c>
      <c r="G13" s="5">
        <f t="shared" ref="G13:Q13" si="1">SUM(G11:G12)</f>
        <v>13159</v>
      </c>
      <c r="H13" s="5">
        <f t="shared" si="1"/>
        <v>11656</v>
      </c>
      <c r="I13" s="5">
        <f t="shared" si="1"/>
        <v>11497</v>
      </c>
      <c r="J13" s="5">
        <f t="shared" si="1"/>
        <v>11985</v>
      </c>
      <c r="K13" s="5">
        <f t="shared" si="1"/>
        <v>13046</v>
      </c>
      <c r="L13" s="5">
        <f t="shared" si="1"/>
        <v>12423</v>
      </c>
      <c r="M13" s="5">
        <f t="shared" si="1"/>
        <v>12394</v>
      </c>
      <c r="N13" s="5">
        <f t="shared" si="1"/>
        <v>11527</v>
      </c>
      <c r="O13" s="5">
        <f t="shared" si="1"/>
        <v>10234</v>
      </c>
      <c r="P13" s="5">
        <f t="shared" si="1"/>
        <v>11636</v>
      </c>
      <c r="Q13" s="5">
        <f t="shared" si="1"/>
        <v>12163</v>
      </c>
      <c r="R13" s="5">
        <f>SUM(F13:Q13)</f>
        <v>142693</v>
      </c>
    </row>
    <row r="14" spans="1:18">
      <c r="A14" s="42">
        <f t="shared" si="0"/>
        <v>7</v>
      </c>
      <c r="C14" s="7"/>
      <c r="D14" s="7"/>
      <c r="E14" s="7"/>
      <c r="F14" s="5"/>
      <c r="G14" s="5"/>
      <c r="H14" s="5"/>
      <c r="I14" s="5"/>
      <c r="J14" s="5"/>
      <c r="K14" s="5"/>
      <c r="L14" s="5"/>
      <c r="M14" s="5"/>
      <c r="N14" s="5"/>
      <c r="O14" s="5"/>
      <c r="P14" s="5"/>
      <c r="Q14" s="5"/>
      <c r="R14" s="5"/>
    </row>
    <row r="15" spans="1:18">
      <c r="A15" s="42">
        <f t="shared" si="0"/>
        <v>8</v>
      </c>
      <c r="B15" t="s">
        <v>163</v>
      </c>
      <c r="C15" s="7"/>
      <c r="D15" s="7"/>
      <c r="E15" s="7"/>
      <c r="F15" s="5"/>
      <c r="G15" s="5"/>
      <c r="H15" s="5"/>
      <c r="I15" s="5"/>
      <c r="J15" s="5"/>
      <c r="K15" s="5"/>
      <c r="L15" s="5"/>
      <c r="M15" s="5"/>
      <c r="N15" s="5"/>
      <c r="O15" s="5"/>
      <c r="P15" s="5"/>
      <c r="Q15" s="5"/>
      <c r="R15" s="5"/>
    </row>
    <row r="16" spans="1:18">
      <c r="A16" s="42">
        <f t="shared" si="0"/>
        <v>9</v>
      </c>
      <c r="D16" s="18"/>
      <c r="F16" s="18"/>
      <c r="G16" s="18"/>
      <c r="H16" s="18"/>
      <c r="I16" s="18"/>
      <c r="J16" s="18"/>
      <c r="K16" s="18"/>
      <c r="L16" s="18"/>
      <c r="M16" s="18"/>
      <c r="N16" s="18"/>
      <c r="O16" s="18"/>
      <c r="P16" s="18"/>
      <c r="Q16" s="18"/>
      <c r="R16" s="18"/>
    </row>
    <row r="17" spans="1:18">
      <c r="A17" s="42">
        <f t="shared" si="0"/>
        <v>10</v>
      </c>
      <c r="B17" s="6" t="s">
        <v>165</v>
      </c>
      <c r="D17" s="18"/>
      <c r="F17" s="18"/>
      <c r="G17" s="18"/>
      <c r="H17" s="18"/>
      <c r="I17" s="18"/>
      <c r="J17" s="18"/>
      <c r="K17" s="18"/>
      <c r="L17" s="18"/>
      <c r="M17" s="18"/>
      <c r="N17" s="18"/>
      <c r="O17" s="18"/>
      <c r="P17" s="18"/>
      <c r="Q17" s="18"/>
      <c r="R17" s="18"/>
    </row>
    <row r="18" spans="1:18">
      <c r="A18" s="42">
        <f t="shared" si="0"/>
        <v>11</v>
      </c>
      <c r="B18" s="25" t="s">
        <v>120</v>
      </c>
      <c r="C18" s="7" t="s">
        <v>8</v>
      </c>
      <c r="D18" s="7">
        <v>2</v>
      </c>
      <c r="F18" s="114">
        <v>99</v>
      </c>
      <c r="G18" s="114">
        <v>61</v>
      </c>
      <c r="H18" s="114">
        <v>47</v>
      </c>
      <c r="I18" s="114">
        <v>78</v>
      </c>
      <c r="J18" s="114">
        <v>43</v>
      </c>
      <c r="K18" s="114">
        <v>41</v>
      </c>
      <c r="L18" s="114">
        <v>40</v>
      </c>
      <c r="M18" s="114">
        <v>41</v>
      </c>
      <c r="N18" s="114">
        <v>39</v>
      </c>
      <c r="O18" s="114">
        <v>33</v>
      </c>
      <c r="P18" s="114">
        <v>70</v>
      </c>
      <c r="Q18" s="114">
        <v>68</v>
      </c>
      <c r="R18" s="5">
        <f t="shared" ref="R18:R25" si="2">SUM(F18:Q18)</f>
        <v>660</v>
      </c>
    </row>
    <row r="19" spans="1:18">
      <c r="A19" s="42">
        <f t="shared" si="0"/>
        <v>12</v>
      </c>
      <c r="B19" s="25" t="s">
        <v>121</v>
      </c>
      <c r="C19" s="7" t="s">
        <v>8</v>
      </c>
      <c r="D19" s="7">
        <v>2</v>
      </c>
      <c r="F19" s="114">
        <v>789</v>
      </c>
      <c r="G19" s="114">
        <v>566</v>
      </c>
      <c r="H19" s="114">
        <v>429</v>
      </c>
      <c r="I19" s="114">
        <v>265</v>
      </c>
      <c r="J19" s="114">
        <v>355</v>
      </c>
      <c r="K19" s="114">
        <v>582</v>
      </c>
      <c r="L19" s="114">
        <v>596</v>
      </c>
      <c r="M19" s="114">
        <v>563</v>
      </c>
      <c r="N19" s="114">
        <v>503</v>
      </c>
      <c r="O19" s="114">
        <v>297</v>
      </c>
      <c r="P19" s="114">
        <v>509</v>
      </c>
      <c r="Q19" s="114">
        <v>473</v>
      </c>
      <c r="R19" s="5">
        <f t="shared" si="2"/>
        <v>5927</v>
      </c>
    </row>
    <row r="20" spans="1:18">
      <c r="A20" s="42">
        <f t="shared" si="0"/>
        <v>13</v>
      </c>
      <c r="B20" s="25" t="s">
        <v>122</v>
      </c>
      <c r="C20" s="7" t="s">
        <v>8</v>
      </c>
      <c r="D20" s="7">
        <v>1</v>
      </c>
      <c r="F20" s="114">
        <v>5750</v>
      </c>
      <c r="G20" s="114">
        <v>6445</v>
      </c>
      <c r="H20" s="114">
        <v>5335</v>
      </c>
      <c r="I20" s="114">
        <v>6020</v>
      </c>
      <c r="J20" s="114">
        <v>6039</v>
      </c>
      <c r="K20" s="114">
        <v>6492</v>
      </c>
      <c r="L20" s="114">
        <v>4804</v>
      </c>
      <c r="M20" s="114">
        <v>4944</v>
      </c>
      <c r="N20" s="114">
        <v>4588</v>
      </c>
      <c r="O20" s="114">
        <v>4673</v>
      </c>
      <c r="P20" s="114">
        <v>5127</v>
      </c>
      <c r="Q20" s="114">
        <v>4857</v>
      </c>
      <c r="R20" s="5">
        <f t="shared" si="2"/>
        <v>65074</v>
      </c>
    </row>
    <row r="21" spans="1:18">
      <c r="A21" s="42">
        <f t="shared" si="0"/>
        <v>14</v>
      </c>
      <c r="B21" t="s">
        <v>123</v>
      </c>
      <c r="C21" s="7" t="s">
        <v>8</v>
      </c>
      <c r="D21" s="7">
        <v>1</v>
      </c>
      <c r="F21" s="114">
        <v>2012</v>
      </c>
      <c r="G21" s="114">
        <v>2928</v>
      </c>
      <c r="H21" s="114">
        <v>1916</v>
      </c>
      <c r="I21" s="114">
        <v>2373</v>
      </c>
      <c r="J21" s="114">
        <v>2921</v>
      </c>
      <c r="K21" s="114">
        <v>3433</v>
      </c>
      <c r="L21" s="114">
        <v>2529</v>
      </c>
      <c r="M21" s="114">
        <v>3727</v>
      </c>
      <c r="N21" s="114">
        <v>3535</v>
      </c>
      <c r="O21" s="114">
        <v>2821</v>
      </c>
      <c r="P21" s="114">
        <v>2964</v>
      </c>
      <c r="Q21" s="114">
        <v>1887</v>
      </c>
      <c r="R21" s="5">
        <f t="shared" si="2"/>
        <v>33046</v>
      </c>
    </row>
    <row r="22" spans="1:18">
      <c r="A22" s="42">
        <f t="shared" si="0"/>
        <v>15</v>
      </c>
      <c r="B22" t="s">
        <v>124</v>
      </c>
      <c r="C22" s="7" t="s">
        <v>8</v>
      </c>
      <c r="D22" s="7">
        <v>1</v>
      </c>
      <c r="F22" s="114">
        <v>2605</v>
      </c>
      <c r="G22" s="114">
        <v>2083</v>
      </c>
      <c r="H22" s="114">
        <v>1752</v>
      </c>
      <c r="I22" s="114">
        <v>1683</v>
      </c>
      <c r="J22" s="114">
        <v>2416</v>
      </c>
      <c r="K22" s="114">
        <v>3413</v>
      </c>
      <c r="L22" s="114">
        <v>3771</v>
      </c>
      <c r="M22" s="114">
        <v>3639</v>
      </c>
      <c r="N22" s="114">
        <v>2705</v>
      </c>
      <c r="O22" s="114">
        <v>1572</v>
      </c>
      <c r="P22" s="114">
        <v>1863</v>
      </c>
      <c r="Q22" s="114">
        <v>1896</v>
      </c>
      <c r="R22" s="5">
        <f t="shared" si="2"/>
        <v>29398</v>
      </c>
    </row>
    <row r="23" spans="1:18">
      <c r="A23" s="42">
        <f t="shared" si="0"/>
        <v>16</v>
      </c>
      <c r="B23" t="s">
        <v>125</v>
      </c>
      <c r="C23" s="7" t="s">
        <v>8</v>
      </c>
      <c r="D23" s="7">
        <v>1</v>
      </c>
      <c r="F23" s="114">
        <v>1307</v>
      </c>
      <c r="G23" s="114">
        <v>1123</v>
      </c>
      <c r="H23" s="114">
        <v>910</v>
      </c>
      <c r="I23" s="114">
        <v>1065</v>
      </c>
      <c r="J23" s="114">
        <v>892</v>
      </c>
      <c r="K23" s="114">
        <v>1468</v>
      </c>
      <c r="L23" s="114">
        <v>1649</v>
      </c>
      <c r="M23" s="114">
        <v>1578</v>
      </c>
      <c r="N23" s="114">
        <v>1371</v>
      </c>
      <c r="O23" s="114">
        <v>764</v>
      </c>
      <c r="P23" s="114">
        <v>929</v>
      </c>
      <c r="Q23" s="114">
        <v>863</v>
      </c>
      <c r="R23" s="5">
        <f t="shared" si="2"/>
        <v>13919</v>
      </c>
    </row>
    <row r="24" spans="1:18">
      <c r="A24" s="42">
        <f t="shared" si="0"/>
        <v>17</v>
      </c>
      <c r="B24" t="s">
        <v>126</v>
      </c>
      <c r="C24" s="7" t="s">
        <v>8</v>
      </c>
      <c r="D24" s="7">
        <v>1</v>
      </c>
      <c r="F24" s="114">
        <v>2539</v>
      </c>
      <c r="G24" s="114">
        <v>817</v>
      </c>
      <c r="H24" s="114">
        <v>708</v>
      </c>
      <c r="I24" s="114">
        <v>1046</v>
      </c>
      <c r="J24" s="114">
        <v>1431</v>
      </c>
      <c r="K24" s="114">
        <v>3831</v>
      </c>
      <c r="L24" s="114">
        <v>4433</v>
      </c>
      <c r="M24" s="114">
        <v>4606</v>
      </c>
      <c r="N24" s="114">
        <v>3557</v>
      </c>
      <c r="O24" s="114">
        <v>3064</v>
      </c>
      <c r="P24" s="114">
        <v>2446</v>
      </c>
      <c r="Q24" s="114">
        <v>2347</v>
      </c>
      <c r="R24" s="5">
        <f t="shared" si="2"/>
        <v>30825</v>
      </c>
    </row>
    <row r="25" spans="1:18">
      <c r="A25" s="42">
        <f t="shared" si="0"/>
        <v>18</v>
      </c>
      <c r="B25" t="s">
        <v>2</v>
      </c>
      <c r="C25" s="7" t="s">
        <v>8</v>
      </c>
      <c r="D25" s="7"/>
      <c r="F25" s="114">
        <v>15101</v>
      </c>
      <c r="G25" s="114">
        <v>14023</v>
      </c>
      <c r="H25" s="114">
        <v>11097</v>
      </c>
      <c r="I25" s="114">
        <v>12530</v>
      </c>
      <c r="J25" s="114">
        <v>14097</v>
      </c>
      <c r="K25" s="114">
        <v>19260</v>
      </c>
      <c r="L25" s="114">
        <v>17822</v>
      </c>
      <c r="M25" s="114">
        <v>19098</v>
      </c>
      <c r="N25" s="114">
        <v>16298</v>
      </c>
      <c r="O25" s="114">
        <v>13224</v>
      </c>
      <c r="P25" s="114">
        <v>13908</v>
      </c>
      <c r="Q25" s="114">
        <v>12391</v>
      </c>
      <c r="R25" s="5">
        <f t="shared" si="2"/>
        <v>178849</v>
      </c>
    </row>
    <row r="26" spans="1:18">
      <c r="A26" s="42">
        <f t="shared" si="0"/>
        <v>19</v>
      </c>
      <c r="B26" t="s">
        <v>160</v>
      </c>
      <c r="C26" s="7"/>
      <c r="D26" s="7"/>
      <c r="F26" s="5"/>
      <c r="G26" s="5"/>
      <c r="H26" s="5"/>
      <c r="I26" s="5"/>
      <c r="J26" s="5"/>
      <c r="K26" s="5"/>
      <c r="L26" s="5"/>
      <c r="M26" s="5"/>
      <c r="N26" s="5"/>
      <c r="O26" s="5"/>
      <c r="P26" s="5"/>
      <c r="Q26" s="5"/>
      <c r="R26" s="5"/>
    </row>
    <row r="27" spans="1:18">
      <c r="A27" s="42">
        <f t="shared" si="0"/>
        <v>20</v>
      </c>
      <c r="B27" t="s">
        <v>161</v>
      </c>
      <c r="C27" s="7"/>
      <c r="D27" s="7"/>
      <c r="F27" s="5">
        <f t="shared" ref="F27:Q27" si="3">SUM(F25:F26)</f>
        <v>15101</v>
      </c>
      <c r="G27" s="5">
        <f t="shared" si="3"/>
        <v>14023</v>
      </c>
      <c r="H27" s="5">
        <f t="shared" si="3"/>
        <v>11097</v>
      </c>
      <c r="I27" s="5">
        <f t="shared" si="3"/>
        <v>12530</v>
      </c>
      <c r="J27" s="5">
        <f t="shared" si="3"/>
        <v>14097</v>
      </c>
      <c r="K27" s="5">
        <f t="shared" si="3"/>
        <v>19260</v>
      </c>
      <c r="L27" s="5">
        <f t="shared" si="3"/>
        <v>17822</v>
      </c>
      <c r="M27" s="5">
        <f t="shared" si="3"/>
        <v>19098</v>
      </c>
      <c r="N27" s="5">
        <f t="shared" si="3"/>
        <v>16298</v>
      </c>
      <c r="O27" s="5">
        <f t="shared" si="3"/>
        <v>13224</v>
      </c>
      <c r="P27" s="5">
        <f t="shared" si="3"/>
        <v>13908</v>
      </c>
      <c r="Q27" s="5">
        <f t="shared" si="3"/>
        <v>12391</v>
      </c>
      <c r="R27" s="5">
        <f>SUM(F27:Q27)</f>
        <v>178849</v>
      </c>
    </row>
    <row r="28" spans="1:18">
      <c r="A28" s="42">
        <f t="shared" si="0"/>
        <v>21</v>
      </c>
      <c r="C28" s="7"/>
      <c r="D28" s="7"/>
      <c r="F28" s="5"/>
      <c r="G28" s="5"/>
      <c r="H28" s="5"/>
      <c r="I28" s="5"/>
      <c r="J28" s="5"/>
      <c r="K28" s="5"/>
      <c r="L28" s="5"/>
      <c r="M28" s="5"/>
      <c r="N28" s="5"/>
      <c r="O28" s="5"/>
      <c r="P28" s="5"/>
      <c r="Q28" s="5"/>
      <c r="R28" s="5"/>
    </row>
    <row r="29" spans="1:18">
      <c r="A29" s="42">
        <f t="shared" si="0"/>
        <v>22</v>
      </c>
      <c r="B29" t="s">
        <v>168</v>
      </c>
      <c r="C29" s="7"/>
      <c r="D29" s="7"/>
      <c r="F29" s="5"/>
      <c r="G29" s="5"/>
      <c r="H29" s="5"/>
      <c r="I29" s="5"/>
      <c r="J29" s="5"/>
      <c r="K29" s="5"/>
      <c r="L29" s="5"/>
      <c r="M29" s="5"/>
      <c r="N29" s="5"/>
      <c r="O29" s="5"/>
      <c r="P29" s="5"/>
      <c r="Q29" s="5"/>
      <c r="R29" s="5"/>
    </row>
    <row r="30" spans="1:18">
      <c r="A30" s="42">
        <f t="shared" si="0"/>
        <v>23</v>
      </c>
      <c r="B30" t="s">
        <v>166</v>
      </c>
      <c r="C30" s="7" t="s">
        <v>8</v>
      </c>
      <c r="D30" s="27">
        <f>+E30/E$32</f>
        <v>0.22988505747126436</v>
      </c>
      <c r="E30" s="5">
        <v>2000</v>
      </c>
      <c r="F30" s="5">
        <f>+$D30*F$20</f>
        <v>1321.83908045977</v>
      </c>
      <c r="G30" s="5">
        <f t="shared" ref="G30:Q30" si="4">+$D30*G$20</f>
        <v>1481.6091954022988</v>
      </c>
      <c r="H30" s="5">
        <f t="shared" si="4"/>
        <v>1226.4367816091954</v>
      </c>
      <c r="I30" s="5">
        <f t="shared" si="4"/>
        <v>1383.9080459770114</v>
      </c>
      <c r="J30" s="5">
        <f t="shared" si="4"/>
        <v>1388.2758620689656</v>
      </c>
      <c r="K30" s="5">
        <f t="shared" si="4"/>
        <v>1492.4137931034481</v>
      </c>
      <c r="L30" s="5">
        <f t="shared" si="4"/>
        <v>1104.367816091954</v>
      </c>
      <c r="M30" s="5">
        <f t="shared" si="4"/>
        <v>1136.5517241379309</v>
      </c>
      <c r="N30" s="5">
        <f t="shared" si="4"/>
        <v>1054.7126436781609</v>
      </c>
      <c r="O30" s="5">
        <f t="shared" si="4"/>
        <v>1074.2528735632184</v>
      </c>
      <c r="P30" s="5">
        <f t="shared" si="4"/>
        <v>1178.6206896551723</v>
      </c>
      <c r="Q30" s="5">
        <f t="shared" si="4"/>
        <v>1116.5517241379309</v>
      </c>
      <c r="R30" s="5">
        <f>SUM(F30:Q30)</f>
        <v>14959.540229885055</v>
      </c>
    </row>
    <row r="31" spans="1:18">
      <c r="A31" s="42">
        <f t="shared" si="0"/>
        <v>24</v>
      </c>
      <c r="B31" s="28" t="s">
        <v>167</v>
      </c>
      <c r="C31" s="7" t="s">
        <v>8</v>
      </c>
      <c r="D31" s="27">
        <f>+E31/E$32</f>
        <v>0.77011494252873558</v>
      </c>
      <c r="E31" s="5">
        <v>6700</v>
      </c>
      <c r="F31" s="5">
        <f t="shared" ref="F31:Q31" si="5">+$D31*F$20</f>
        <v>4428.1609195402298</v>
      </c>
      <c r="G31" s="5">
        <f t="shared" si="5"/>
        <v>4963.3908045977005</v>
      </c>
      <c r="H31" s="5">
        <f t="shared" si="5"/>
        <v>4108.5632183908046</v>
      </c>
      <c r="I31" s="5">
        <f t="shared" si="5"/>
        <v>4636.0919540229879</v>
      </c>
      <c r="J31" s="5">
        <f t="shared" si="5"/>
        <v>4650.7241379310344</v>
      </c>
      <c r="K31" s="5">
        <f t="shared" si="5"/>
        <v>4999.5862068965516</v>
      </c>
      <c r="L31" s="5">
        <f t="shared" si="5"/>
        <v>3699.6321839080456</v>
      </c>
      <c r="M31" s="5">
        <f t="shared" si="5"/>
        <v>3807.4482758620688</v>
      </c>
      <c r="N31" s="5">
        <f t="shared" si="5"/>
        <v>3533.2873563218386</v>
      </c>
      <c r="O31" s="5">
        <f t="shared" si="5"/>
        <v>3598.7471264367814</v>
      </c>
      <c r="P31" s="5">
        <f t="shared" si="5"/>
        <v>3948.3793103448274</v>
      </c>
      <c r="Q31" s="5">
        <f t="shared" si="5"/>
        <v>3740.4482758620688</v>
      </c>
      <c r="R31" s="5">
        <f>SUM(F31:Q31)</f>
        <v>50114.459770114947</v>
      </c>
    </row>
    <row r="32" spans="1:18">
      <c r="A32" s="42">
        <f t="shared" si="0"/>
        <v>25</v>
      </c>
      <c r="B32" t="s">
        <v>2</v>
      </c>
      <c r="C32" s="7" t="s">
        <v>8</v>
      </c>
      <c r="E32" s="5">
        <f>SUM(E30:E31)</f>
        <v>8700</v>
      </c>
      <c r="F32" s="5">
        <f>SUM(F30:F31)</f>
        <v>5750</v>
      </c>
      <c r="G32" s="5">
        <f t="shared" ref="G32:Q32" si="6">SUM(G30:G31)</f>
        <v>6444.9999999999991</v>
      </c>
      <c r="H32" s="5">
        <f t="shared" si="6"/>
        <v>5335</v>
      </c>
      <c r="I32" s="5">
        <f t="shared" si="6"/>
        <v>6019.9999999999991</v>
      </c>
      <c r="J32" s="5">
        <f t="shared" si="6"/>
        <v>6039</v>
      </c>
      <c r="K32" s="5">
        <f t="shared" si="6"/>
        <v>6492</v>
      </c>
      <c r="L32" s="5">
        <f t="shared" si="6"/>
        <v>4804</v>
      </c>
      <c r="M32" s="5">
        <f t="shared" si="6"/>
        <v>4944</v>
      </c>
      <c r="N32" s="5">
        <f t="shared" si="6"/>
        <v>4588</v>
      </c>
      <c r="O32" s="5">
        <f t="shared" si="6"/>
        <v>4673</v>
      </c>
      <c r="P32" s="5">
        <f t="shared" si="6"/>
        <v>5127</v>
      </c>
      <c r="Q32" s="5">
        <f t="shared" si="6"/>
        <v>4857</v>
      </c>
      <c r="R32" s="5">
        <f>SUM(F32:Q32)</f>
        <v>65074</v>
      </c>
    </row>
    <row r="33" spans="1:18">
      <c r="A33" s="42">
        <f t="shared" si="0"/>
        <v>26</v>
      </c>
      <c r="C33" s="7"/>
      <c r="F33" s="5"/>
      <c r="G33" s="5"/>
      <c r="H33" s="5"/>
      <c r="I33" s="5"/>
      <c r="J33" s="5"/>
      <c r="K33" s="5"/>
      <c r="L33" s="5"/>
      <c r="M33" s="5"/>
      <c r="N33" s="5"/>
      <c r="O33" s="5"/>
      <c r="P33" s="5"/>
      <c r="Q33" s="5"/>
      <c r="R33" s="5"/>
    </row>
    <row r="34" spans="1:18">
      <c r="A34" s="42">
        <f t="shared" si="0"/>
        <v>27</v>
      </c>
      <c r="B34" s="6" t="s">
        <v>132</v>
      </c>
      <c r="C34" s="7"/>
      <c r="F34" s="5"/>
      <c r="G34" s="5"/>
      <c r="H34" s="5"/>
      <c r="I34" s="5"/>
      <c r="J34" s="5"/>
      <c r="K34" s="5"/>
      <c r="L34" s="5"/>
      <c r="M34" s="5"/>
      <c r="N34" s="5"/>
      <c r="O34" s="5"/>
      <c r="P34" s="5"/>
      <c r="Q34" s="5"/>
      <c r="R34" s="5"/>
    </row>
    <row r="35" spans="1:18">
      <c r="A35" s="42">
        <f t="shared" si="0"/>
        <v>28</v>
      </c>
      <c r="B35" t="s">
        <v>133</v>
      </c>
      <c r="C35" s="7" t="s">
        <v>8</v>
      </c>
      <c r="D35">
        <v>1</v>
      </c>
      <c r="E35" s="7" t="s">
        <v>158</v>
      </c>
      <c r="F35" s="114">
        <v>2318</v>
      </c>
      <c r="G35" s="114">
        <v>1871</v>
      </c>
      <c r="H35" s="114">
        <v>1644</v>
      </c>
      <c r="I35" s="114">
        <v>3912</v>
      </c>
      <c r="J35" s="114">
        <v>8404</v>
      </c>
      <c r="K35" s="114">
        <v>13923</v>
      </c>
      <c r="L35" s="114">
        <v>19895</v>
      </c>
      <c r="M35" s="114">
        <v>21880</v>
      </c>
      <c r="N35" s="114">
        <v>12789</v>
      </c>
      <c r="O35" s="114">
        <v>4120</v>
      </c>
      <c r="P35" s="114">
        <v>4139</v>
      </c>
      <c r="Q35" s="114">
        <v>5475</v>
      </c>
      <c r="R35" s="5">
        <f t="shared" ref="R35:R59" si="7">SUM(F35:Q35)</f>
        <v>100370</v>
      </c>
    </row>
    <row r="36" spans="1:18">
      <c r="A36" s="42">
        <f t="shared" si="0"/>
        <v>29</v>
      </c>
      <c r="B36" t="s">
        <v>134</v>
      </c>
      <c r="C36" s="7" t="s">
        <v>8</v>
      </c>
      <c r="D36">
        <v>1</v>
      </c>
      <c r="E36" s="7" t="s">
        <v>158</v>
      </c>
      <c r="F36" s="114">
        <v>3225</v>
      </c>
      <c r="G36" s="114">
        <v>2725</v>
      </c>
      <c r="H36" s="114">
        <v>2918</v>
      </c>
      <c r="I36" s="114">
        <v>2085</v>
      </c>
      <c r="J36" s="114">
        <v>2854</v>
      </c>
      <c r="K36" s="114">
        <v>6472</v>
      </c>
      <c r="L36" s="114">
        <v>6734</v>
      </c>
      <c r="M36" s="114">
        <v>8222</v>
      </c>
      <c r="N36" s="114">
        <v>7271</v>
      </c>
      <c r="O36" s="114">
        <v>3204</v>
      </c>
      <c r="P36" s="114">
        <v>3831</v>
      </c>
      <c r="Q36" s="114">
        <v>3895</v>
      </c>
      <c r="R36" s="5">
        <f t="shared" si="7"/>
        <v>53436</v>
      </c>
    </row>
    <row r="37" spans="1:18">
      <c r="A37" s="42">
        <f t="shared" si="0"/>
        <v>30</v>
      </c>
      <c r="B37" t="s">
        <v>135</v>
      </c>
      <c r="C37" s="7" t="s">
        <v>8</v>
      </c>
      <c r="D37">
        <v>1</v>
      </c>
      <c r="E37" s="7" t="s">
        <v>158</v>
      </c>
      <c r="F37" s="114">
        <v>1225</v>
      </c>
      <c r="G37" s="114">
        <v>1021</v>
      </c>
      <c r="H37" s="114">
        <v>957</v>
      </c>
      <c r="I37" s="114">
        <v>1623</v>
      </c>
      <c r="J37" s="114">
        <v>1351</v>
      </c>
      <c r="K37" s="114">
        <v>3217</v>
      </c>
      <c r="L37" s="114">
        <v>5532</v>
      </c>
      <c r="M37" s="114">
        <v>7365</v>
      </c>
      <c r="N37" s="114">
        <v>4956</v>
      </c>
      <c r="O37" s="114">
        <v>747</v>
      </c>
      <c r="P37" s="114">
        <v>1001</v>
      </c>
      <c r="Q37" s="114">
        <v>1066</v>
      </c>
      <c r="R37" s="5">
        <f t="shared" si="7"/>
        <v>30061</v>
      </c>
    </row>
    <row r="38" spans="1:18">
      <c r="A38" s="42">
        <f t="shared" si="0"/>
        <v>31</v>
      </c>
      <c r="B38" t="s">
        <v>136</v>
      </c>
      <c r="C38" s="7" t="s">
        <v>8</v>
      </c>
      <c r="D38">
        <v>1</v>
      </c>
      <c r="E38" s="7" t="s">
        <v>158</v>
      </c>
      <c r="F38" s="114">
        <v>7063</v>
      </c>
      <c r="G38" s="114">
        <v>4170</v>
      </c>
      <c r="H38" s="114">
        <v>4227</v>
      </c>
      <c r="I38" s="114">
        <v>4997</v>
      </c>
      <c r="J38" s="114">
        <v>5631</v>
      </c>
      <c r="K38" s="114">
        <v>16472</v>
      </c>
      <c r="L38" s="114">
        <v>19254</v>
      </c>
      <c r="M38" s="114">
        <v>19576</v>
      </c>
      <c r="N38" s="114">
        <v>15460</v>
      </c>
      <c r="O38" s="114">
        <v>8831</v>
      </c>
      <c r="P38" s="114">
        <v>9131</v>
      </c>
      <c r="Q38" s="114">
        <v>7943</v>
      </c>
      <c r="R38" s="5">
        <f t="shared" si="7"/>
        <v>122755</v>
      </c>
    </row>
    <row r="39" spans="1:18">
      <c r="A39" s="42">
        <f t="shared" si="0"/>
        <v>32</v>
      </c>
      <c r="B39" t="s">
        <v>137</v>
      </c>
      <c r="C39" s="7" t="s">
        <v>8</v>
      </c>
      <c r="D39">
        <v>1</v>
      </c>
      <c r="E39" s="7" t="s">
        <v>158</v>
      </c>
      <c r="F39" s="114">
        <v>14102</v>
      </c>
      <c r="G39" s="114">
        <v>12564</v>
      </c>
      <c r="H39" s="114">
        <v>11220</v>
      </c>
      <c r="I39" s="114">
        <v>7304</v>
      </c>
      <c r="J39" s="114">
        <v>9608</v>
      </c>
      <c r="K39" s="114">
        <v>13297</v>
      </c>
      <c r="L39" s="114">
        <v>14469</v>
      </c>
      <c r="M39" s="114">
        <v>14652</v>
      </c>
      <c r="N39" s="114">
        <v>11658</v>
      </c>
      <c r="O39" s="114">
        <v>7694</v>
      </c>
      <c r="P39" s="114">
        <v>11633</v>
      </c>
      <c r="Q39" s="114">
        <v>11391</v>
      </c>
      <c r="R39" s="5">
        <f t="shared" si="7"/>
        <v>139592</v>
      </c>
    </row>
    <row r="40" spans="1:18">
      <c r="A40" s="42">
        <f t="shared" si="0"/>
        <v>33</v>
      </c>
      <c r="B40" t="s">
        <v>138</v>
      </c>
      <c r="C40" s="7" t="s">
        <v>8</v>
      </c>
      <c r="D40">
        <v>1</v>
      </c>
      <c r="E40" s="7" t="s">
        <v>158</v>
      </c>
      <c r="F40" s="114">
        <v>11731</v>
      </c>
      <c r="G40" s="114">
        <v>10750</v>
      </c>
      <c r="H40" s="114">
        <v>9913</v>
      </c>
      <c r="I40" s="114">
        <v>9681</v>
      </c>
      <c r="J40" s="114">
        <v>14028</v>
      </c>
      <c r="K40" s="114">
        <v>19738</v>
      </c>
      <c r="L40" s="114">
        <v>21205</v>
      </c>
      <c r="M40" s="114">
        <v>20217</v>
      </c>
      <c r="N40" s="114">
        <v>16737</v>
      </c>
      <c r="O40" s="114">
        <v>10913</v>
      </c>
      <c r="P40" s="114">
        <v>10230</v>
      </c>
      <c r="Q40" s="114">
        <v>10237</v>
      </c>
      <c r="R40" s="5">
        <f t="shared" si="7"/>
        <v>165380</v>
      </c>
    </row>
    <row r="41" spans="1:18">
      <c r="A41" s="42">
        <f t="shared" si="0"/>
        <v>34</v>
      </c>
      <c r="B41" t="s">
        <v>139</v>
      </c>
      <c r="C41" s="7" t="s">
        <v>8</v>
      </c>
      <c r="D41">
        <v>1</v>
      </c>
      <c r="E41" s="7" t="s">
        <v>158</v>
      </c>
      <c r="F41" s="114">
        <v>1296</v>
      </c>
      <c r="G41" s="114">
        <v>1200</v>
      </c>
      <c r="H41" s="114">
        <v>1241</v>
      </c>
      <c r="I41" s="114">
        <v>2689</v>
      </c>
      <c r="J41" s="114">
        <v>5894</v>
      </c>
      <c r="K41" s="114">
        <v>8366</v>
      </c>
      <c r="L41" s="114">
        <v>11356</v>
      </c>
      <c r="M41" s="114">
        <v>13815</v>
      </c>
      <c r="N41" s="114">
        <v>9262</v>
      </c>
      <c r="O41" s="114">
        <v>3431</v>
      </c>
      <c r="P41" s="114">
        <v>2229</v>
      </c>
      <c r="Q41" s="114">
        <v>1813</v>
      </c>
      <c r="R41" s="5">
        <f t="shared" si="7"/>
        <v>62592</v>
      </c>
    </row>
    <row r="42" spans="1:18">
      <c r="A42" s="42">
        <f t="shared" si="0"/>
        <v>35</v>
      </c>
      <c r="B42" t="s">
        <v>140</v>
      </c>
      <c r="C42" s="7" t="s">
        <v>8</v>
      </c>
      <c r="D42">
        <v>1</v>
      </c>
      <c r="E42" s="7" t="s">
        <v>158</v>
      </c>
      <c r="F42" s="114">
        <v>6433</v>
      </c>
      <c r="G42" s="114">
        <v>5007</v>
      </c>
      <c r="H42" s="114">
        <v>4698</v>
      </c>
      <c r="I42" s="114">
        <v>3385</v>
      </c>
      <c r="J42" s="114">
        <v>5039</v>
      </c>
      <c r="K42" s="114">
        <v>7547</v>
      </c>
      <c r="L42" s="114">
        <v>7839</v>
      </c>
      <c r="M42" s="114">
        <v>9076</v>
      </c>
      <c r="N42" s="114">
        <v>7264</v>
      </c>
      <c r="O42" s="114">
        <v>5482</v>
      </c>
      <c r="P42" s="114">
        <v>6080</v>
      </c>
      <c r="Q42" s="114">
        <v>5769</v>
      </c>
      <c r="R42" s="5">
        <f t="shared" si="7"/>
        <v>73619</v>
      </c>
    </row>
    <row r="43" spans="1:18">
      <c r="A43" s="42">
        <f t="shared" si="0"/>
        <v>36</v>
      </c>
      <c r="B43" t="s">
        <v>141</v>
      </c>
      <c r="C43" s="7" t="s">
        <v>8</v>
      </c>
      <c r="D43">
        <v>1</v>
      </c>
      <c r="E43" s="7" t="s">
        <v>158</v>
      </c>
      <c r="F43" s="114">
        <v>1714</v>
      </c>
      <c r="G43" s="114">
        <v>1382</v>
      </c>
      <c r="H43" s="114">
        <v>1280</v>
      </c>
      <c r="I43" s="114">
        <v>1296</v>
      </c>
      <c r="J43" s="114">
        <v>1716</v>
      </c>
      <c r="K43" s="114">
        <v>6681</v>
      </c>
      <c r="L43" s="114">
        <v>7672</v>
      </c>
      <c r="M43" s="114">
        <v>8604</v>
      </c>
      <c r="N43" s="114">
        <v>6427</v>
      </c>
      <c r="O43" s="114">
        <v>1102</v>
      </c>
      <c r="P43" s="114">
        <v>1341</v>
      </c>
      <c r="Q43" s="114">
        <v>1408</v>
      </c>
      <c r="R43" s="5">
        <f t="shared" si="7"/>
        <v>40623</v>
      </c>
    </row>
    <row r="44" spans="1:18">
      <c r="A44" s="42">
        <f t="shared" si="0"/>
        <v>37</v>
      </c>
      <c r="B44" t="s">
        <v>142</v>
      </c>
      <c r="C44" s="7" t="s">
        <v>8</v>
      </c>
      <c r="D44">
        <v>1</v>
      </c>
      <c r="E44" s="7" t="s">
        <v>158</v>
      </c>
      <c r="F44" s="114">
        <v>2400</v>
      </c>
      <c r="G44" s="114">
        <v>1903</v>
      </c>
      <c r="H44" s="114">
        <v>1670</v>
      </c>
      <c r="I44" s="114">
        <v>1150</v>
      </c>
      <c r="J44" s="114">
        <v>1421</v>
      </c>
      <c r="K44" s="114">
        <v>3957</v>
      </c>
      <c r="L44" s="114">
        <v>4618</v>
      </c>
      <c r="M44" s="114">
        <v>5249</v>
      </c>
      <c r="N44" s="114">
        <v>2016</v>
      </c>
      <c r="O44" s="114">
        <v>877</v>
      </c>
      <c r="P44" s="114">
        <v>1881</v>
      </c>
      <c r="Q44" s="114">
        <v>1811</v>
      </c>
      <c r="R44" s="5">
        <f t="shared" si="7"/>
        <v>28953</v>
      </c>
    </row>
    <row r="45" spans="1:18">
      <c r="A45" s="42">
        <f t="shared" si="0"/>
        <v>38</v>
      </c>
      <c r="B45" t="s">
        <v>143</v>
      </c>
      <c r="C45" s="7" t="s">
        <v>8</v>
      </c>
      <c r="D45">
        <v>1</v>
      </c>
      <c r="E45" s="7" t="s">
        <v>158</v>
      </c>
      <c r="F45" s="114">
        <v>16842</v>
      </c>
      <c r="G45" s="114">
        <v>14372</v>
      </c>
      <c r="H45" s="114">
        <v>12877</v>
      </c>
      <c r="I45" s="114">
        <v>8450</v>
      </c>
      <c r="J45" s="114">
        <v>11752</v>
      </c>
      <c r="K45" s="114">
        <v>16288</v>
      </c>
      <c r="L45" s="114">
        <v>17917</v>
      </c>
      <c r="M45" s="114">
        <v>19060</v>
      </c>
      <c r="N45" s="114">
        <v>15280</v>
      </c>
      <c r="O45" s="114">
        <v>6073</v>
      </c>
      <c r="P45" s="114">
        <v>13213</v>
      </c>
      <c r="Q45" s="114">
        <v>12995</v>
      </c>
      <c r="R45" s="5">
        <f t="shared" si="7"/>
        <v>165119</v>
      </c>
    </row>
    <row r="46" spans="1:18">
      <c r="A46" s="42">
        <f t="shared" si="0"/>
        <v>39</v>
      </c>
      <c r="B46" t="s">
        <v>144</v>
      </c>
      <c r="C46" s="7" t="s">
        <v>8</v>
      </c>
      <c r="D46">
        <v>3</v>
      </c>
      <c r="E46" s="7" t="s">
        <v>158</v>
      </c>
      <c r="F46" s="114">
        <v>0</v>
      </c>
      <c r="G46" s="114">
        <v>0</v>
      </c>
      <c r="H46" s="114">
        <v>0</v>
      </c>
      <c r="I46" s="114">
        <v>0</v>
      </c>
      <c r="J46" s="114">
        <v>0</v>
      </c>
      <c r="K46" s="114">
        <v>0</v>
      </c>
      <c r="L46" s="114">
        <v>0</v>
      </c>
      <c r="M46" s="114">
        <v>0</v>
      </c>
      <c r="N46" s="114">
        <v>0</v>
      </c>
      <c r="O46" s="114">
        <v>0</v>
      </c>
      <c r="P46" s="114">
        <v>0</v>
      </c>
      <c r="Q46" s="114">
        <v>0</v>
      </c>
      <c r="R46" s="5">
        <f t="shared" si="7"/>
        <v>0</v>
      </c>
    </row>
    <row r="47" spans="1:18">
      <c r="A47" s="42">
        <f t="shared" si="0"/>
        <v>40</v>
      </c>
      <c r="B47" t="s">
        <v>145</v>
      </c>
      <c r="C47" s="7" t="s">
        <v>8</v>
      </c>
      <c r="D47">
        <v>1</v>
      </c>
      <c r="E47" s="7" t="s">
        <v>159</v>
      </c>
      <c r="F47" s="114">
        <v>1472</v>
      </c>
      <c r="G47" s="114">
        <v>1486</v>
      </c>
      <c r="H47" s="114">
        <v>1400</v>
      </c>
      <c r="I47" s="114">
        <v>1450</v>
      </c>
      <c r="J47" s="114">
        <v>1804</v>
      </c>
      <c r="K47" s="114">
        <v>1965</v>
      </c>
      <c r="L47" s="114">
        <v>1731</v>
      </c>
      <c r="M47" s="114">
        <v>2024</v>
      </c>
      <c r="N47" s="114">
        <v>2204</v>
      </c>
      <c r="O47" s="114">
        <v>1429</v>
      </c>
      <c r="P47" s="114">
        <v>1357</v>
      </c>
      <c r="Q47" s="114">
        <v>1371</v>
      </c>
      <c r="R47" s="5">
        <f t="shared" si="7"/>
        <v>19693</v>
      </c>
    </row>
    <row r="48" spans="1:18">
      <c r="A48" s="42">
        <f t="shared" si="0"/>
        <v>41</v>
      </c>
      <c r="B48" t="s">
        <v>146</v>
      </c>
      <c r="C48" s="7" t="s">
        <v>8</v>
      </c>
      <c r="D48">
        <v>1</v>
      </c>
      <c r="E48" s="7" t="s">
        <v>158</v>
      </c>
      <c r="F48" s="114">
        <v>7039</v>
      </c>
      <c r="G48" s="114">
        <v>5932</v>
      </c>
      <c r="H48" s="114">
        <v>5314</v>
      </c>
      <c r="I48" s="114">
        <v>4036</v>
      </c>
      <c r="J48" s="114">
        <v>5405</v>
      </c>
      <c r="K48" s="114">
        <v>8348</v>
      </c>
      <c r="L48" s="114">
        <v>8868</v>
      </c>
      <c r="M48" s="114">
        <v>8942</v>
      </c>
      <c r="N48" s="114">
        <v>6686</v>
      </c>
      <c r="O48" s="114">
        <v>3509</v>
      </c>
      <c r="P48" s="114">
        <v>5819</v>
      </c>
      <c r="Q48" s="114">
        <v>5800</v>
      </c>
      <c r="R48" s="5">
        <f t="shared" si="7"/>
        <v>75698</v>
      </c>
    </row>
    <row r="49" spans="1:18">
      <c r="A49" s="42">
        <f t="shared" si="0"/>
        <v>42</v>
      </c>
      <c r="B49" t="s">
        <v>147</v>
      </c>
      <c r="C49" s="7" t="s">
        <v>8</v>
      </c>
      <c r="D49">
        <v>1</v>
      </c>
      <c r="E49" s="7" t="s">
        <v>158</v>
      </c>
      <c r="F49" s="114">
        <v>702</v>
      </c>
      <c r="G49" s="114">
        <v>461</v>
      </c>
      <c r="H49" s="114">
        <v>971</v>
      </c>
      <c r="I49" s="114">
        <v>788</v>
      </c>
      <c r="J49" s="114">
        <v>1200</v>
      </c>
      <c r="K49" s="114">
        <v>1089</v>
      </c>
      <c r="L49" s="114">
        <v>1794</v>
      </c>
      <c r="M49" s="114">
        <v>3265</v>
      </c>
      <c r="N49" s="114">
        <v>2983</v>
      </c>
      <c r="O49" s="114">
        <v>702</v>
      </c>
      <c r="P49" s="114">
        <v>1007</v>
      </c>
      <c r="Q49" s="114">
        <v>1417</v>
      </c>
      <c r="R49" s="5">
        <f t="shared" si="7"/>
        <v>16379</v>
      </c>
    </row>
    <row r="50" spans="1:18">
      <c r="A50" s="42">
        <f t="shared" si="0"/>
        <v>43</v>
      </c>
      <c r="B50" t="s">
        <v>148</v>
      </c>
      <c r="C50" s="7" t="s">
        <v>8</v>
      </c>
      <c r="D50">
        <v>3</v>
      </c>
      <c r="E50" s="7" t="s">
        <v>158</v>
      </c>
      <c r="F50" s="114">
        <v>0</v>
      </c>
      <c r="G50" s="114">
        <v>0</v>
      </c>
      <c r="H50" s="114">
        <v>0</v>
      </c>
      <c r="I50" s="114">
        <v>0</v>
      </c>
      <c r="J50" s="114">
        <v>0</v>
      </c>
      <c r="K50" s="114">
        <v>0</v>
      </c>
      <c r="L50" s="114">
        <v>0</v>
      </c>
      <c r="M50" s="114">
        <v>0</v>
      </c>
      <c r="N50" s="114">
        <v>0</v>
      </c>
      <c r="O50" s="114">
        <v>0</v>
      </c>
      <c r="P50" s="114">
        <v>0</v>
      </c>
      <c r="Q50" s="114">
        <v>0</v>
      </c>
      <c r="R50" s="5">
        <f t="shared" si="7"/>
        <v>0</v>
      </c>
    </row>
    <row r="51" spans="1:18">
      <c r="A51" s="42">
        <f t="shared" si="0"/>
        <v>44</v>
      </c>
      <c r="B51" t="s">
        <v>149</v>
      </c>
      <c r="C51" s="7" t="s">
        <v>8</v>
      </c>
      <c r="D51">
        <v>1</v>
      </c>
      <c r="E51" s="7" t="s">
        <v>158</v>
      </c>
      <c r="F51" s="114">
        <v>17707</v>
      </c>
      <c r="G51" s="114">
        <v>14953</v>
      </c>
      <c r="H51" s="114">
        <v>13705</v>
      </c>
      <c r="I51" s="114">
        <v>9185</v>
      </c>
      <c r="J51" s="114">
        <v>13819</v>
      </c>
      <c r="K51" s="114">
        <v>19391</v>
      </c>
      <c r="L51" s="114">
        <v>19262</v>
      </c>
      <c r="M51" s="114">
        <v>23895</v>
      </c>
      <c r="N51" s="114">
        <v>21724</v>
      </c>
      <c r="O51" s="114">
        <v>17188</v>
      </c>
      <c r="P51" s="114">
        <v>17982</v>
      </c>
      <c r="Q51" s="114">
        <v>17642</v>
      </c>
      <c r="R51" s="5">
        <f t="shared" si="7"/>
        <v>206453</v>
      </c>
    </row>
    <row r="52" spans="1:18">
      <c r="A52" s="42">
        <f t="shared" si="0"/>
        <v>45</v>
      </c>
      <c r="B52" t="s">
        <v>150</v>
      </c>
      <c r="C52" s="7" t="s">
        <v>8</v>
      </c>
      <c r="D52">
        <v>1</v>
      </c>
      <c r="E52" s="7" t="s">
        <v>158</v>
      </c>
      <c r="F52" s="114">
        <v>35629</v>
      </c>
      <c r="G52" s="114">
        <v>30748</v>
      </c>
      <c r="H52" s="114">
        <v>27636</v>
      </c>
      <c r="I52" s="114">
        <v>18418</v>
      </c>
      <c r="J52" s="114">
        <v>25498</v>
      </c>
      <c r="K52" s="114">
        <v>34280</v>
      </c>
      <c r="L52" s="114">
        <v>37204</v>
      </c>
      <c r="M52" s="114">
        <v>37256</v>
      </c>
      <c r="N52" s="114">
        <v>32505</v>
      </c>
      <c r="O52" s="114">
        <v>17945</v>
      </c>
      <c r="P52" s="114">
        <v>26756</v>
      </c>
      <c r="Q52" s="114">
        <v>26075</v>
      </c>
      <c r="R52" s="5">
        <f t="shared" si="7"/>
        <v>349950</v>
      </c>
    </row>
    <row r="53" spans="1:18">
      <c r="A53" s="42">
        <f t="shared" si="0"/>
        <v>46</v>
      </c>
      <c r="B53" t="s">
        <v>151</v>
      </c>
      <c r="C53" s="7" t="s">
        <v>8</v>
      </c>
      <c r="D53">
        <v>1</v>
      </c>
      <c r="E53" s="7" t="s">
        <v>158</v>
      </c>
      <c r="F53" s="114">
        <v>0</v>
      </c>
      <c r="G53" s="114">
        <v>0</v>
      </c>
      <c r="H53" s="114">
        <v>0</v>
      </c>
      <c r="I53" s="114">
        <v>0</v>
      </c>
      <c r="J53" s="114">
        <v>0</v>
      </c>
      <c r="K53" s="114">
        <v>0</v>
      </c>
      <c r="L53" s="114">
        <v>0</v>
      </c>
      <c r="M53" s="114">
        <v>0</v>
      </c>
      <c r="N53" s="114">
        <v>0</v>
      </c>
      <c r="O53" s="114">
        <v>0</v>
      </c>
      <c r="P53" s="114">
        <v>0</v>
      </c>
      <c r="Q53" s="114">
        <v>0</v>
      </c>
      <c r="R53" s="5">
        <f t="shared" si="7"/>
        <v>0</v>
      </c>
    </row>
    <row r="54" spans="1:18">
      <c r="A54" s="42">
        <f t="shared" si="0"/>
        <v>47</v>
      </c>
      <c r="B54" t="s">
        <v>152</v>
      </c>
      <c r="C54" s="7" t="s">
        <v>8</v>
      </c>
      <c r="D54">
        <v>0</v>
      </c>
      <c r="E54" s="7" t="s">
        <v>158</v>
      </c>
      <c r="F54" s="114">
        <v>0</v>
      </c>
      <c r="G54" s="114">
        <v>0</v>
      </c>
      <c r="H54" s="114">
        <v>0</v>
      </c>
      <c r="I54" s="114">
        <v>0</v>
      </c>
      <c r="J54" s="114">
        <v>0</v>
      </c>
      <c r="K54" s="114">
        <v>0</v>
      </c>
      <c r="L54" s="114">
        <v>0</v>
      </c>
      <c r="M54" s="114">
        <v>0</v>
      </c>
      <c r="N54" s="114">
        <v>0</v>
      </c>
      <c r="O54" s="114">
        <v>0</v>
      </c>
      <c r="P54" s="114">
        <v>0</v>
      </c>
      <c r="Q54" s="114">
        <v>0</v>
      </c>
      <c r="R54" s="5">
        <f t="shared" si="7"/>
        <v>0</v>
      </c>
    </row>
    <row r="55" spans="1:18">
      <c r="A55" s="42">
        <f t="shared" si="0"/>
        <v>48</v>
      </c>
      <c r="B55" t="s">
        <v>153</v>
      </c>
      <c r="C55" s="7" t="s">
        <v>8</v>
      </c>
      <c r="D55">
        <v>0</v>
      </c>
      <c r="E55" s="7" t="s">
        <v>158</v>
      </c>
      <c r="F55" s="114">
        <v>0</v>
      </c>
      <c r="G55" s="114">
        <v>0</v>
      </c>
      <c r="H55" s="114">
        <v>0</v>
      </c>
      <c r="I55" s="114">
        <v>0</v>
      </c>
      <c r="J55" s="114">
        <v>0</v>
      </c>
      <c r="K55" s="114">
        <v>0</v>
      </c>
      <c r="L55" s="114">
        <v>0</v>
      </c>
      <c r="M55" s="114">
        <v>7</v>
      </c>
      <c r="N55" s="114">
        <v>7</v>
      </c>
      <c r="O55" s="114">
        <v>7</v>
      </c>
      <c r="P55" s="114">
        <v>7</v>
      </c>
      <c r="Q55" s="114">
        <v>7</v>
      </c>
      <c r="R55" s="5">
        <f t="shared" si="7"/>
        <v>35</v>
      </c>
    </row>
    <row r="56" spans="1:18">
      <c r="A56" s="42">
        <f t="shared" si="0"/>
        <v>49</v>
      </c>
      <c r="B56" t="s">
        <v>154</v>
      </c>
      <c r="C56" s="7" t="s">
        <v>8</v>
      </c>
      <c r="D56">
        <v>0</v>
      </c>
      <c r="E56" s="7" t="s">
        <v>158</v>
      </c>
      <c r="F56" s="114">
        <v>0</v>
      </c>
      <c r="G56" s="114">
        <v>0</v>
      </c>
      <c r="H56" s="114">
        <v>0</v>
      </c>
      <c r="I56" s="114">
        <v>0</v>
      </c>
      <c r="J56" s="114">
        <v>0</v>
      </c>
      <c r="K56" s="114">
        <v>0</v>
      </c>
      <c r="L56" s="114">
        <v>0</v>
      </c>
      <c r="M56" s="114">
        <v>0</v>
      </c>
      <c r="N56" s="114">
        <v>0</v>
      </c>
      <c r="O56" s="114">
        <v>0</v>
      </c>
      <c r="P56" s="114">
        <v>0</v>
      </c>
      <c r="Q56" s="114">
        <v>0</v>
      </c>
      <c r="R56" s="5">
        <f t="shared" si="7"/>
        <v>0</v>
      </c>
    </row>
    <row r="57" spans="1:18">
      <c r="A57" s="42">
        <f t="shared" si="0"/>
        <v>50</v>
      </c>
      <c r="B57" t="s">
        <v>2</v>
      </c>
      <c r="F57" s="5">
        <f t="shared" ref="F57:Q57" si="8">SUM(F35:F56)</f>
        <v>130898</v>
      </c>
      <c r="G57" s="5">
        <f t="shared" si="8"/>
        <v>110545</v>
      </c>
      <c r="H57" s="5">
        <f t="shared" si="8"/>
        <v>101671</v>
      </c>
      <c r="I57" s="5">
        <f t="shared" si="8"/>
        <v>80449</v>
      </c>
      <c r="J57" s="5">
        <f t="shared" si="8"/>
        <v>115424</v>
      </c>
      <c r="K57" s="5">
        <f t="shared" si="8"/>
        <v>181031</v>
      </c>
      <c r="L57" s="5">
        <f t="shared" si="8"/>
        <v>205350</v>
      </c>
      <c r="M57" s="5">
        <f t="shared" si="8"/>
        <v>223105</v>
      </c>
      <c r="N57" s="5">
        <f t="shared" si="8"/>
        <v>175229</v>
      </c>
      <c r="O57" s="5">
        <f t="shared" si="8"/>
        <v>93254</v>
      </c>
      <c r="P57" s="5">
        <f t="shared" si="8"/>
        <v>117637</v>
      </c>
      <c r="Q57" s="5">
        <f t="shared" si="8"/>
        <v>116115</v>
      </c>
      <c r="R57" s="5">
        <f t="shared" si="7"/>
        <v>1650708</v>
      </c>
    </row>
    <row r="58" spans="1:18">
      <c r="A58" s="42">
        <f t="shared" si="0"/>
        <v>51</v>
      </c>
      <c r="B58" s="8" t="s">
        <v>155</v>
      </c>
      <c r="C58" s="8"/>
      <c r="D58" s="8"/>
      <c r="E58" s="8"/>
      <c r="F58" s="50">
        <f>-F47</f>
        <v>-1472</v>
      </c>
      <c r="G58" s="50">
        <f t="shared" ref="G58:Q58" si="9">-G47</f>
        <v>-1486</v>
      </c>
      <c r="H58" s="50">
        <f t="shared" si="9"/>
        <v>-1400</v>
      </c>
      <c r="I58" s="50">
        <f t="shared" si="9"/>
        <v>-1450</v>
      </c>
      <c r="J58" s="50">
        <f t="shared" si="9"/>
        <v>-1804</v>
      </c>
      <c r="K58" s="50">
        <f t="shared" si="9"/>
        <v>-1965</v>
      </c>
      <c r="L58" s="50">
        <f t="shared" si="9"/>
        <v>-1731</v>
      </c>
      <c r="M58" s="50">
        <f t="shared" si="9"/>
        <v>-2024</v>
      </c>
      <c r="N58" s="50">
        <f t="shared" si="9"/>
        <v>-2204</v>
      </c>
      <c r="O58" s="50">
        <f t="shared" si="9"/>
        <v>-1429</v>
      </c>
      <c r="P58" s="50">
        <f t="shared" si="9"/>
        <v>-1357</v>
      </c>
      <c r="Q58" s="50">
        <f t="shared" si="9"/>
        <v>-1371</v>
      </c>
      <c r="R58" s="50">
        <f t="shared" si="7"/>
        <v>-19693</v>
      </c>
    </row>
    <row r="59" spans="1:18">
      <c r="A59" s="42">
        <f t="shared" si="0"/>
        <v>52</v>
      </c>
      <c r="B59" s="8" t="s">
        <v>156</v>
      </c>
      <c r="C59" s="8"/>
      <c r="D59" s="8"/>
      <c r="E59" s="8"/>
      <c r="F59" s="50">
        <f>SUM(F57:F58)</f>
        <v>129426</v>
      </c>
      <c r="G59" s="50">
        <f t="shared" ref="G59:Q59" si="10">SUM(G57:G58)</f>
        <v>109059</v>
      </c>
      <c r="H59" s="50">
        <f t="shared" si="10"/>
        <v>100271</v>
      </c>
      <c r="I59" s="50">
        <f t="shared" si="10"/>
        <v>78999</v>
      </c>
      <c r="J59" s="50">
        <f t="shared" si="10"/>
        <v>113620</v>
      </c>
      <c r="K59" s="50">
        <f t="shared" si="10"/>
        <v>179066</v>
      </c>
      <c r="L59" s="50">
        <f t="shared" si="10"/>
        <v>203619</v>
      </c>
      <c r="M59" s="50">
        <f t="shared" si="10"/>
        <v>221081</v>
      </c>
      <c r="N59" s="50">
        <f t="shared" si="10"/>
        <v>173025</v>
      </c>
      <c r="O59" s="50">
        <f t="shared" si="10"/>
        <v>91825</v>
      </c>
      <c r="P59" s="50">
        <f t="shared" si="10"/>
        <v>116280</v>
      </c>
      <c r="Q59" s="50">
        <f t="shared" si="10"/>
        <v>114744</v>
      </c>
      <c r="R59" s="50">
        <f t="shared" si="7"/>
        <v>1631015</v>
      </c>
    </row>
    <row r="60" spans="1:18">
      <c r="A60" s="42">
        <f t="shared" si="0"/>
        <v>53</v>
      </c>
      <c r="B60" s="8"/>
      <c r="C60" s="8"/>
      <c r="D60" s="8"/>
      <c r="E60" s="8"/>
      <c r="F60" s="8"/>
      <c r="G60" s="8"/>
      <c r="H60" s="8"/>
      <c r="I60" s="8"/>
      <c r="J60" s="8"/>
      <c r="K60" s="8"/>
      <c r="L60" s="8"/>
      <c r="M60" s="8"/>
      <c r="N60" s="8"/>
      <c r="O60" s="8"/>
      <c r="P60" s="8"/>
      <c r="Q60" s="8"/>
      <c r="R60" s="8"/>
    </row>
    <row r="61" spans="1:18">
      <c r="A61" s="42">
        <f t="shared" si="0"/>
        <v>54</v>
      </c>
      <c r="B61" s="8" t="s">
        <v>205</v>
      </c>
      <c r="C61" s="8"/>
      <c r="D61" s="8"/>
      <c r="E61" s="8"/>
      <c r="F61" s="9">
        <f>+F13+F32+F59</f>
        <v>146149</v>
      </c>
      <c r="G61" s="9">
        <f t="shared" ref="G61:Q61" si="11">+G13+G32+G59</f>
        <v>128663</v>
      </c>
      <c r="H61" s="9">
        <f t="shared" si="11"/>
        <v>117262</v>
      </c>
      <c r="I61" s="9">
        <f t="shared" si="11"/>
        <v>96516</v>
      </c>
      <c r="J61" s="9">
        <f t="shared" si="11"/>
        <v>131644</v>
      </c>
      <c r="K61" s="9">
        <f t="shared" si="11"/>
        <v>198604</v>
      </c>
      <c r="L61" s="9">
        <f t="shared" si="11"/>
        <v>220846</v>
      </c>
      <c r="M61" s="9">
        <f t="shared" si="11"/>
        <v>238419</v>
      </c>
      <c r="N61" s="9">
        <f t="shared" si="11"/>
        <v>189140</v>
      </c>
      <c r="O61" s="9">
        <f t="shared" si="11"/>
        <v>106732</v>
      </c>
      <c r="P61" s="9">
        <f t="shared" si="11"/>
        <v>133043</v>
      </c>
      <c r="Q61" s="9">
        <f t="shared" si="11"/>
        <v>131764</v>
      </c>
      <c r="R61" s="50">
        <f>SUM(F61:Q61)</f>
        <v>1838782</v>
      </c>
    </row>
    <row r="63" spans="1:18">
      <c r="B63" s="8" t="s">
        <v>162</v>
      </c>
    </row>
  </sheetData>
  <mergeCells count="2">
    <mergeCell ref="B1:R1"/>
    <mergeCell ref="B2:R2"/>
  </mergeCells>
  <pageMargins left="0.7" right="0.7" top="0.75" bottom="0.75" header="0.3" footer="0.3"/>
  <pageSetup scale="51" orientation="landscape" r:id="rId1"/>
  <headerFooter>
    <oddHeader>&amp;RSchedule G1.0</oddHeader>
    <oddFooter>&amp;R&amp;D</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K35"/>
  <sheetViews>
    <sheetView view="pageLayout" topLeftCell="A45" workbookViewId="0">
      <selection activeCell="A2" sqref="A2"/>
    </sheetView>
  </sheetViews>
  <sheetFormatPr defaultRowHeight="15"/>
  <cols>
    <col min="2" max="2" width="29" customWidth="1"/>
    <col min="3" max="3" width="13.28515625" customWidth="1"/>
    <col min="4" max="4" width="14.5703125" customWidth="1"/>
    <col min="5" max="5" width="15.85546875" customWidth="1"/>
    <col min="7" max="7" width="23.140625" customWidth="1"/>
    <col min="8" max="8" width="12.28515625" bestFit="1" customWidth="1"/>
    <col min="9" max="10" width="10.42578125" customWidth="1"/>
    <col min="11" max="11" width="11" customWidth="1"/>
  </cols>
  <sheetData>
    <row r="1" spans="1:11">
      <c r="B1" s="154" t="s">
        <v>30</v>
      </c>
      <c r="C1" s="154"/>
      <c r="D1" s="154"/>
      <c r="E1" s="154"/>
      <c r="F1" s="154"/>
      <c r="G1" s="154"/>
      <c r="H1" s="154"/>
      <c r="I1" s="154"/>
      <c r="J1" s="154"/>
      <c r="K1" s="154"/>
    </row>
    <row r="2" spans="1:11">
      <c r="B2" s="152" t="s">
        <v>345</v>
      </c>
      <c r="C2" s="152"/>
      <c r="D2" s="152"/>
      <c r="E2" s="152"/>
      <c r="F2" s="152"/>
      <c r="G2" s="152"/>
      <c r="H2" s="152"/>
      <c r="I2" s="152"/>
      <c r="J2" s="152"/>
      <c r="K2" s="152"/>
    </row>
    <row r="3" spans="1:11">
      <c r="B3" s="135" t="s">
        <v>449</v>
      </c>
    </row>
    <row r="4" spans="1:11">
      <c r="C4" s="83" t="s">
        <v>232</v>
      </c>
      <c r="D4" s="83" t="s">
        <v>233</v>
      </c>
      <c r="E4" s="83" t="s">
        <v>234</v>
      </c>
      <c r="F4" s="83"/>
      <c r="G4" s="83" t="s">
        <v>235</v>
      </c>
      <c r="H4" s="83" t="s">
        <v>236</v>
      </c>
      <c r="I4" s="83" t="s">
        <v>237</v>
      </c>
      <c r="J4" s="83" t="s">
        <v>238</v>
      </c>
      <c r="K4" s="83" t="s">
        <v>239</v>
      </c>
    </row>
    <row r="6" spans="1:11">
      <c r="H6" s="83" t="s">
        <v>332</v>
      </c>
      <c r="I6" s="83"/>
      <c r="J6" s="83"/>
    </row>
    <row r="7" spans="1:11">
      <c r="B7" s="86"/>
      <c r="C7" s="102" t="s">
        <v>324</v>
      </c>
      <c r="D7" s="102" t="s">
        <v>5</v>
      </c>
      <c r="E7" s="102" t="s">
        <v>325</v>
      </c>
      <c r="H7" s="109" t="s">
        <v>333</v>
      </c>
      <c r="I7" s="109" t="s">
        <v>26</v>
      </c>
      <c r="J7" s="109" t="s">
        <v>25</v>
      </c>
      <c r="K7" s="109" t="s">
        <v>2</v>
      </c>
    </row>
    <row r="8" spans="1:11">
      <c r="B8" s="86"/>
      <c r="C8" s="105" t="s">
        <v>118</v>
      </c>
      <c r="D8" s="105" t="s">
        <v>118</v>
      </c>
      <c r="E8" s="105" t="s">
        <v>118</v>
      </c>
      <c r="H8" s="105" t="s">
        <v>118</v>
      </c>
      <c r="I8" s="105" t="s">
        <v>118</v>
      </c>
      <c r="J8" s="105" t="s">
        <v>118</v>
      </c>
      <c r="K8" s="105" t="s">
        <v>118</v>
      </c>
    </row>
    <row r="9" spans="1:11">
      <c r="A9" s="83"/>
      <c r="B9" s="106" t="s">
        <v>326</v>
      </c>
      <c r="C9" s="105"/>
      <c r="D9" s="105"/>
      <c r="E9" s="105"/>
      <c r="G9" s="11" t="s">
        <v>346</v>
      </c>
    </row>
    <row r="10" spans="1:11">
      <c r="A10" s="83">
        <f>+A9+1</f>
        <v>1</v>
      </c>
      <c r="B10" s="90" t="s">
        <v>29</v>
      </c>
      <c r="C10" s="103">
        <f>+Debt!G20</f>
        <v>51910.14</v>
      </c>
      <c r="D10" s="103">
        <f>+TransExp!D18</f>
        <v>343554.34</v>
      </c>
      <c r="E10" s="103">
        <f t="shared" ref="E10:E15" si="0">SUM(C10:D10)</f>
        <v>395464.48000000004</v>
      </c>
      <c r="G10" t="s">
        <v>334</v>
      </c>
      <c r="H10" s="10">
        <f>+E27</f>
        <v>170016.71584077383</v>
      </c>
      <c r="I10" s="10">
        <f>+E28</f>
        <v>195223.53075397841</v>
      </c>
      <c r="J10" s="10">
        <f>+E29</f>
        <v>275930.80134271045</v>
      </c>
      <c r="K10" s="10">
        <f>SUM(H10:J10)</f>
        <v>641171.04793746269</v>
      </c>
    </row>
    <row r="11" spans="1:11">
      <c r="A11" s="83">
        <f t="shared" ref="A11:A33" si="1">+A10+1</f>
        <v>2</v>
      </c>
      <c r="B11" s="90" t="s">
        <v>28</v>
      </c>
      <c r="C11" s="103">
        <f>+Debt!G32</f>
        <v>10443.280000000001</v>
      </c>
      <c r="D11" s="103">
        <f>+TransExp!D30</f>
        <v>34697.760000000002</v>
      </c>
      <c r="E11" s="103">
        <f t="shared" si="0"/>
        <v>45141.04</v>
      </c>
      <c r="G11" t="s">
        <v>335</v>
      </c>
      <c r="H11" s="149">
        <v>1.5</v>
      </c>
      <c r="I11" s="149">
        <v>1.5</v>
      </c>
      <c r="J11" s="149">
        <v>1.5</v>
      </c>
    </row>
    <row r="12" spans="1:11">
      <c r="A12" s="83">
        <f t="shared" si="1"/>
        <v>3</v>
      </c>
      <c r="B12" s="86" t="s">
        <v>27</v>
      </c>
      <c r="C12" s="103">
        <f>+Debt!G26</f>
        <v>88761.8</v>
      </c>
      <c r="D12" s="103">
        <f>+TransExp!D42</f>
        <v>394636.57</v>
      </c>
      <c r="E12" s="103">
        <f t="shared" si="0"/>
        <v>483398.37</v>
      </c>
      <c r="G12" t="s">
        <v>336</v>
      </c>
      <c r="H12" s="5">
        <f>+H10*H11</f>
        <v>255025.07376116075</v>
      </c>
      <c r="I12" s="5">
        <f t="shared" ref="I12:J12" si="2">+I10*I11</f>
        <v>292835.29613096762</v>
      </c>
      <c r="J12" s="5">
        <f t="shared" si="2"/>
        <v>413896.2020140657</v>
      </c>
      <c r="K12" s="10">
        <f>SUM(H12:J12)</f>
        <v>961756.57190619409</v>
      </c>
    </row>
    <row r="13" spans="1:11">
      <c r="A13" s="83">
        <f t="shared" si="1"/>
        <v>4</v>
      </c>
      <c r="B13" s="86" t="s">
        <v>26</v>
      </c>
      <c r="C13" s="103">
        <f>+Debt!G38</f>
        <v>0</v>
      </c>
      <c r="D13" s="103">
        <f>+TransExp!D54</f>
        <v>327070.15000000002</v>
      </c>
      <c r="E13" s="103">
        <f t="shared" si="0"/>
        <v>327070.15000000002</v>
      </c>
      <c r="G13" t="s">
        <v>337</v>
      </c>
      <c r="H13" s="5">
        <f>-Summary!I17</f>
        <v>-94623.164645831363</v>
      </c>
      <c r="I13" s="5">
        <f>-Summary!J17</f>
        <v>-97212.033791378461</v>
      </c>
      <c r="J13" s="5">
        <f>-Summary!K17</f>
        <v>-155224.42610307803</v>
      </c>
      <c r="K13" s="10">
        <f>SUM(H13:J13)</f>
        <v>-347059.62454028788</v>
      </c>
    </row>
    <row r="14" spans="1:11">
      <c r="A14" s="83">
        <f t="shared" si="1"/>
        <v>5</v>
      </c>
      <c r="B14" s="90" t="s">
        <v>25</v>
      </c>
      <c r="C14" s="103">
        <f>+Debt!G44</f>
        <v>650032.93000000005</v>
      </c>
      <c r="D14" s="103">
        <f>+TransExp!D66</f>
        <v>711149.51</v>
      </c>
      <c r="E14" s="103">
        <f t="shared" si="0"/>
        <v>1361182.44</v>
      </c>
      <c r="G14" t="s">
        <v>338</v>
      </c>
      <c r="H14" s="5">
        <f>-Summary!I19</f>
        <v>-147699.68872967959</v>
      </c>
      <c r="I14" s="5">
        <f>-Summary!J19</f>
        <v>-195223.53075397841</v>
      </c>
      <c r="J14" s="5">
        <f>-Summary!K19</f>
        <v>-144159.99531170551</v>
      </c>
      <c r="K14" s="10">
        <f>SUM(H14:J14)</f>
        <v>-487083.21479536348</v>
      </c>
    </row>
    <row r="15" spans="1:11">
      <c r="A15" s="83">
        <f t="shared" si="1"/>
        <v>6</v>
      </c>
      <c r="B15" s="86" t="s">
        <v>2</v>
      </c>
      <c r="C15" s="104">
        <f>SUM(C10:C14)</f>
        <v>801148.15</v>
      </c>
      <c r="D15" s="104">
        <f>SUM(D10:D14)</f>
        <v>1811108.33</v>
      </c>
      <c r="E15" s="104">
        <f t="shared" si="0"/>
        <v>2612256.48</v>
      </c>
      <c r="G15" t="s">
        <v>339</v>
      </c>
      <c r="H15" s="5">
        <f>SUM(H12:H14)</f>
        <v>12702.220385649794</v>
      </c>
      <c r="I15" s="5">
        <f t="shared" ref="I15:J15" si="3">SUM(I12:I14)</f>
        <v>399.73158561074524</v>
      </c>
      <c r="J15" s="5">
        <f t="shared" si="3"/>
        <v>114511.78059928215</v>
      </c>
      <c r="K15" s="10">
        <f>SUM(H15:J15)</f>
        <v>127613.73257054269</v>
      </c>
    </row>
    <row r="16" spans="1:11">
      <c r="A16" s="83">
        <f t="shared" si="1"/>
        <v>7</v>
      </c>
    </row>
    <row r="17" spans="1:11">
      <c r="A17" s="83">
        <f t="shared" si="1"/>
        <v>8</v>
      </c>
      <c r="B17" s="108" t="s">
        <v>327</v>
      </c>
      <c r="G17" t="s">
        <v>21</v>
      </c>
      <c r="H17" s="5">
        <f>+H15</f>
        <v>12702.220385649794</v>
      </c>
      <c r="I17" s="5">
        <f t="shared" ref="I17:J17" si="4">+I15</f>
        <v>399.73158561074524</v>
      </c>
      <c r="J17" s="5">
        <f t="shared" si="4"/>
        <v>114511.78059928215</v>
      </c>
      <c r="K17" s="5">
        <f>SUM(H17:J17)</f>
        <v>127613.73257054269</v>
      </c>
    </row>
    <row r="18" spans="1:11">
      <c r="A18" s="83">
        <f t="shared" si="1"/>
        <v>9</v>
      </c>
      <c r="B18" s="107" t="s">
        <v>29</v>
      </c>
      <c r="C18" s="5">
        <f>+C10*C22</f>
        <v>30090.973133024563</v>
      </c>
      <c r="D18" s="5">
        <f t="shared" ref="D18" si="5">+D10*D22</f>
        <v>199149.61536751754</v>
      </c>
      <c r="E18" s="5">
        <f>SUM(C18:D18)</f>
        <v>229240.5885005421</v>
      </c>
      <c r="G18" t="s">
        <v>340</v>
      </c>
      <c r="H18" s="5">
        <f>+Summary!I17</f>
        <v>94623.164645831363</v>
      </c>
      <c r="I18" s="5">
        <f>+Summary!J17</f>
        <v>97212.033791378461</v>
      </c>
      <c r="J18" s="5">
        <f>+Summary!K17</f>
        <v>155224.42610307803</v>
      </c>
      <c r="K18" s="5">
        <f>SUM(H18:J18)</f>
        <v>347059.62454028788</v>
      </c>
    </row>
    <row r="19" spans="1:11">
      <c r="A19" s="83">
        <f t="shared" si="1"/>
        <v>10</v>
      </c>
      <c r="B19" s="107" t="s">
        <v>26</v>
      </c>
      <c r="C19" s="5">
        <f>+C13*C23</f>
        <v>0</v>
      </c>
      <c r="D19" s="5">
        <f>+D13*D23</f>
        <v>327070.15000000002</v>
      </c>
      <c r="E19" s="5">
        <f>SUM(C19:D19)</f>
        <v>327070.15000000002</v>
      </c>
      <c r="G19" t="s">
        <v>341</v>
      </c>
      <c r="H19" s="5">
        <f>+Summary!I19</f>
        <v>147699.68872967959</v>
      </c>
      <c r="I19" s="5">
        <f>+Summary!J19</f>
        <v>195223.53075397841</v>
      </c>
      <c r="J19" s="5">
        <f>+Summary!K19</f>
        <v>144159.99531170551</v>
      </c>
      <c r="K19" s="5">
        <f>SUM(H19:J19)</f>
        <v>487083.21479536348</v>
      </c>
    </row>
    <row r="20" spans="1:11">
      <c r="A20" s="83">
        <f t="shared" si="1"/>
        <v>11</v>
      </c>
      <c r="B20" s="107" t="s">
        <v>25</v>
      </c>
      <c r="C20" s="5">
        <f>+C14*C24</f>
        <v>650032.93000000005</v>
      </c>
      <c r="D20" s="5">
        <f>+D14*D24</f>
        <v>711149.51</v>
      </c>
      <c r="E20" s="5">
        <f>SUM(C20:D20)</f>
        <v>1361182.44</v>
      </c>
      <c r="G20" t="s">
        <v>342</v>
      </c>
      <c r="H20" s="5">
        <f>SUM(H17:H19)</f>
        <v>255025.07376116075</v>
      </c>
      <c r="I20" s="5">
        <f t="shared" ref="I20:J20" si="6">SUM(I17:I19)</f>
        <v>292835.29613096762</v>
      </c>
      <c r="J20" s="5">
        <f t="shared" si="6"/>
        <v>413896.2020140657</v>
      </c>
      <c r="K20" s="5">
        <f>SUM(H20:J20)</f>
        <v>961756.57190619409</v>
      </c>
    </row>
    <row r="21" spans="1:11">
      <c r="A21" s="83">
        <f t="shared" si="1"/>
        <v>12</v>
      </c>
      <c r="B21" s="107" t="s">
        <v>2</v>
      </c>
      <c r="C21" s="10">
        <f>SUM(C18:C20)</f>
        <v>680123.90313302458</v>
      </c>
      <c r="D21" s="10">
        <f>SUM(D18:D20)</f>
        <v>1237369.2753675175</v>
      </c>
      <c r="E21" s="10">
        <f>SUM(C21:D21)</f>
        <v>1917493.178500542</v>
      </c>
      <c r="G21" t="s">
        <v>343</v>
      </c>
      <c r="H21" s="10">
        <f>+E27</f>
        <v>170016.71584077383</v>
      </c>
      <c r="I21" s="10">
        <f>+E28</f>
        <v>195223.53075397841</v>
      </c>
      <c r="J21" s="10">
        <f>+E29</f>
        <v>275930.80134271045</v>
      </c>
      <c r="K21" s="10">
        <f>SUM(H21:J21)</f>
        <v>641171.04793746269</v>
      </c>
    </row>
    <row r="22" spans="1:11">
      <c r="A22" s="83">
        <f t="shared" si="1"/>
        <v>13</v>
      </c>
      <c r="B22" s="107" t="s">
        <v>328</v>
      </c>
      <c r="C22" s="34">
        <f>+AF!F10</f>
        <v>0.57967428200009796</v>
      </c>
      <c r="D22" s="34">
        <f>+C22</f>
        <v>0.57967428200009796</v>
      </c>
      <c r="G22" t="s">
        <v>344</v>
      </c>
      <c r="H22" s="27">
        <f>+H20/H21</f>
        <v>1.5</v>
      </c>
      <c r="I22" s="27">
        <f t="shared" ref="I22:K22" si="7">+I20/I21</f>
        <v>1.5</v>
      </c>
      <c r="J22" s="27">
        <f t="shared" si="7"/>
        <v>1.5</v>
      </c>
      <c r="K22" s="27">
        <f t="shared" si="7"/>
        <v>1.5</v>
      </c>
    </row>
    <row r="23" spans="1:11">
      <c r="A23" s="83">
        <f t="shared" si="1"/>
        <v>14</v>
      </c>
      <c r="B23" s="107" t="s">
        <v>329</v>
      </c>
      <c r="C23" s="15">
        <v>1</v>
      </c>
      <c r="D23" s="15">
        <f>+C23</f>
        <v>1</v>
      </c>
    </row>
    <row r="24" spans="1:11">
      <c r="A24" s="83">
        <f t="shared" si="1"/>
        <v>15</v>
      </c>
      <c r="B24" s="107" t="s">
        <v>330</v>
      </c>
      <c r="C24" s="15">
        <f>+C23</f>
        <v>1</v>
      </c>
      <c r="D24" s="15">
        <f>+D23</f>
        <v>1</v>
      </c>
    </row>
    <row r="25" spans="1:11">
      <c r="A25" s="83">
        <f t="shared" si="1"/>
        <v>16</v>
      </c>
    </row>
    <row r="26" spans="1:11">
      <c r="A26" s="83">
        <f t="shared" si="1"/>
        <v>17</v>
      </c>
      <c r="B26" s="108" t="s">
        <v>331</v>
      </c>
    </row>
    <row r="27" spans="1:11">
      <c r="A27" s="83">
        <f t="shared" si="1"/>
        <v>18</v>
      </c>
      <c r="B27" s="107" t="s">
        <v>29</v>
      </c>
      <c r="C27" s="5">
        <f>+C18*C31</f>
        <v>22317.027111094245</v>
      </c>
      <c r="D27" s="5">
        <f t="shared" ref="D27:D29" si="8">+D18*D31</f>
        <v>147699.68872967959</v>
      </c>
      <c r="E27" s="10">
        <f>SUM(C27:D27)</f>
        <v>170016.71584077383</v>
      </c>
    </row>
    <row r="28" spans="1:11">
      <c r="A28" s="83">
        <f t="shared" si="1"/>
        <v>19</v>
      </c>
      <c r="B28" s="107" t="s">
        <v>26</v>
      </c>
      <c r="C28" s="5">
        <f t="shared" ref="C28" si="9">+C19*C32</f>
        <v>0</v>
      </c>
      <c r="D28" s="5">
        <f t="shared" si="8"/>
        <v>195223.53075397841</v>
      </c>
      <c r="E28" s="10">
        <f>SUM(C28:D28)</f>
        <v>195223.53075397841</v>
      </c>
    </row>
    <row r="29" spans="1:11">
      <c r="A29" s="83">
        <f t="shared" si="1"/>
        <v>20</v>
      </c>
      <c r="B29" s="107" t="s">
        <v>25</v>
      </c>
      <c r="C29" s="5">
        <f t="shared" ref="C29" si="10">+C20*C33</f>
        <v>131770.80603100493</v>
      </c>
      <c r="D29" s="5">
        <f t="shared" si="8"/>
        <v>144159.99531170551</v>
      </c>
      <c r="E29" s="10">
        <f>SUM(C29:D29)</f>
        <v>275930.80134271045</v>
      </c>
    </row>
    <row r="30" spans="1:11">
      <c r="A30" s="83">
        <f t="shared" si="1"/>
        <v>21</v>
      </c>
      <c r="B30" s="107" t="s">
        <v>2</v>
      </c>
      <c r="C30" s="10">
        <f>SUM(C27:C29)</f>
        <v>154087.83314209917</v>
      </c>
      <c r="D30" s="10">
        <f>SUM(D27:D29)</f>
        <v>487083.21479536348</v>
      </c>
      <c r="E30" s="10">
        <f>SUM(C30:D30)</f>
        <v>641171.04793746269</v>
      </c>
    </row>
    <row r="31" spans="1:11">
      <c r="A31" s="83">
        <f t="shared" si="1"/>
        <v>22</v>
      </c>
      <c r="B31" s="107" t="s">
        <v>328</v>
      </c>
      <c r="C31" s="34">
        <f>+AF!E19</f>
        <v>0.74165189050006208</v>
      </c>
      <c r="D31" s="34">
        <f>+C31</f>
        <v>0.74165189050006208</v>
      </c>
    </row>
    <row r="32" spans="1:11">
      <c r="A32" s="83">
        <f t="shared" si="1"/>
        <v>23</v>
      </c>
      <c r="B32" s="107" t="s">
        <v>329</v>
      </c>
      <c r="C32" s="34">
        <f>+AF!E20</f>
        <v>0.59688580799555813</v>
      </c>
      <c r="D32" s="34">
        <f t="shared" ref="D32:D33" si="11">+C32</f>
        <v>0.59688580799555813</v>
      </c>
    </row>
    <row r="33" spans="1:4">
      <c r="A33" s="83">
        <f t="shared" si="1"/>
        <v>24</v>
      </c>
      <c r="B33" s="107" t="s">
        <v>330</v>
      </c>
      <c r="C33" s="34">
        <f>+AF!E21</f>
        <v>0.20271404716527966</v>
      </c>
      <c r="D33" s="34">
        <f t="shared" si="11"/>
        <v>0.20271404716527966</v>
      </c>
    </row>
    <row r="35" spans="1:4">
      <c r="A35" t="s">
        <v>478</v>
      </c>
    </row>
  </sheetData>
  <mergeCells count="2">
    <mergeCell ref="B1:K1"/>
    <mergeCell ref="B2:K2"/>
  </mergeCells>
  <pageMargins left="0.7" right="0.7" top="0.75" bottom="0.75" header="0.3" footer="0.3"/>
  <pageSetup scale="77" orientation="landscape" r:id="rId1"/>
  <headerFooter>
    <oddHeader>&amp;RSchedule H1.0</oddHead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Summary</vt:lpstr>
      <vt:lpstr>Form 1 Plant </vt:lpstr>
      <vt:lpstr>TransPlnt </vt:lpstr>
      <vt:lpstr>Form1Exp</vt:lpstr>
      <vt:lpstr>TransExp</vt:lpstr>
      <vt:lpstr>AF</vt:lpstr>
      <vt:lpstr>Usage</vt:lpstr>
      <vt:lpstr>Margin</vt:lpstr>
      <vt:lpstr>Debt</vt:lpstr>
      <vt:lpstr>Sub WP</vt:lpstr>
      <vt:lpstr>Delivery Pts</vt:lpstr>
      <vt:lpstr>Depreciation</vt:lpstr>
      <vt:lpstr>AF!Print_Area</vt:lpstr>
      <vt:lpstr>Depreciation!Print_Area</vt:lpstr>
      <vt:lpstr>Form1Exp!Print_Area</vt:lpstr>
      <vt:lpstr>Summary!Print_Area</vt:lpstr>
      <vt:lpstr>TransExp!Print_Area</vt:lpstr>
      <vt:lpstr>'TransPlnt '!Print_Area</vt:lpstr>
      <vt:lpstr>Usage!Print_Area</vt:lpstr>
      <vt:lpstr>AF!Print_Titles</vt:lpstr>
      <vt:lpstr>Form1Exp!Print_Titles</vt:lpstr>
      <vt:lpstr>TransExp!Print_Titles</vt:lpstr>
      <vt:lpstr>'TransPlnt '!Print_Titles</vt:lpstr>
      <vt:lpstr>Usage!Print_Titles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Wiegand</dc:creator>
  <cp:lastModifiedBy>lkolb</cp:lastModifiedBy>
  <cp:lastPrinted>2012-02-23T20:56:07Z</cp:lastPrinted>
  <dcterms:created xsi:type="dcterms:W3CDTF">2011-05-27T16:38:22Z</dcterms:created>
  <dcterms:modified xsi:type="dcterms:W3CDTF">2012-03-26T15:44:52Z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