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https://marchcounselcom-my.sharepoint.com/personal/craig_silverstein_marchcounsel_com/Documents/100725 - Golden Spread/100725-102 - FPA Compliance - GSEC OATT and SOC/Documents/"/>
    </mc:Choice>
  </mc:AlternateContent>
  <xr:revisionPtr revIDLastSave="0" documentId="8_{20C075A8-41C1-4ED6-B3B2-B57741EC42A2}" xr6:coauthVersionLast="43" xr6:coauthVersionMax="43" xr10:uidLastSave="{00000000-0000-0000-0000-000000000000}"/>
  <bookViews>
    <workbookView xWindow="-98" yWindow="-98" windowWidth="28996" windowHeight="15796" tabRatio="606" xr2:uid="{00000000-000D-0000-FFFF-FFFF00000000}"/>
  </bookViews>
  <sheets>
    <sheet name="Cover" sheetId="14" r:id="rId1"/>
    <sheet name="Summary" sheetId="28" r:id="rId2"/>
    <sheet name="Plant" sheetId="26" r:id="rId3"/>
    <sheet name="Expenses" sheetId="30" r:id="rId4"/>
    <sheet name="AF" sheetId="10" r:id="rId5"/>
    <sheet name="Usage" sheetId="12" r:id="rId6"/>
    <sheet name="Debt" sheetId="20" r:id="rId7"/>
    <sheet name="Sub WP" sheetId="22" r:id="rId8"/>
    <sheet name="Delivery Pts" sheetId="24" r:id="rId9"/>
    <sheet name="Depreciation" sheetId="34" r:id="rId10"/>
    <sheet name="Usage WP" sheetId="32" r:id="rId11"/>
    <sheet name="Changes" sheetId="35" r:id="rId12"/>
    <sheet name="Regulatory Asset WP " sheetId="36" r:id="rId13"/>
  </sheets>
  <externalReferences>
    <externalReference r:id="rId14"/>
    <externalReference r:id="rId15"/>
    <externalReference r:id="rId16"/>
    <externalReference r:id="rId17"/>
  </externalReferences>
  <definedNames>
    <definedName name="AEPCO_BASE_SPFS_percent_adder">[1]other_inputs!$F$18</definedName>
    <definedName name="AEPCO_BASE_SPFS_VOM_adder">[1]other_inputs!$F$19</definedName>
    <definedName name="AEPCO_Base_Strike_Price_for_Purchase">[1]Unit_Cost!$N$7</definedName>
    <definedName name="AEPCO_Base_Strike_Price_for_Sale">[1]Unit_Cost!$M$7</definedName>
    <definedName name="AEPCO_Pooled_Other_Base_Year" localSheetId="11">#REF!</definedName>
    <definedName name="AEPCO_Pooled_Other_Base_Year" localSheetId="3">#REF!</definedName>
    <definedName name="AEPCO_Pooled_Other_Base_Year" localSheetId="2">#REF!</definedName>
    <definedName name="AEPCO_Pooled_Other_Base_Year" localSheetId="1">#REF!</definedName>
    <definedName name="AEPCO_Pooled_Other_Base_Year" localSheetId="10">#REF!</definedName>
    <definedName name="AEPCO_Pooled_Other_Base_Year">#REF!</definedName>
    <definedName name="BASE_Trade_Price">[1]Step_2A_Member_Trades_Base!$L$10</definedName>
    <definedName name="Budget">[2]Cover!$B$15</definedName>
    <definedName name="CI_data" localSheetId="11">#REF!</definedName>
    <definedName name="CI_data" localSheetId="3">#REF!</definedName>
    <definedName name="CI_data" localSheetId="2">#REF!</definedName>
    <definedName name="CI_data" localSheetId="1">#REF!</definedName>
    <definedName name="CI_data" localSheetId="10">#REF!</definedName>
    <definedName name="CI_data">#REF!</definedName>
    <definedName name="CI_date" localSheetId="11">#REF!</definedName>
    <definedName name="CI_date" localSheetId="3">#REF!</definedName>
    <definedName name="CI_date" localSheetId="2">#REF!</definedName>
    <definedName name="CI_date" localSheetId="1">#REF!</definedName>
    <definedName name="CI_date" localSheetId="10">#REF!</definedName>
    <definedName name="CI_date">#REF!</definedName>
    <definedName name="CI_label" localSheetId="11">#REF!</definedName>
    <definedName name="CI_label" localSheetId="3">#REF!</definedName>
    <definedName name="CI_label" localSheetId="2">#REF!</definedName>
    <definedName name="CI_label" localSheetId="1">#REF!</definedName>
    <definedName name="CI_label" localSheetId="10">#REF!</definedName>
    <definedName name="CI_label">#REF!</definedName>
    <definedName name="COMPANY">'[3]INPUTS - Accounts'!$B$1</definedName>
    <definedName name="COOP">#N/A</definedName>
    <definedName name="D_DISTOPX" localSheetId="4">'[3]Sched F4 Factors'!#REF!</definedName>
    <definedName name="D_DISTOPX" localSheetId="11">'[3]Sched F4 Factors'!#REF!</definedName>
    <definedName name="D_DISTOPX" localSheetId="9">'[3]Sched F4 Factors'!#REF!</definedName>
    <definedName name="D_DISTOPX" localSheetId="3">'[3]Sched F4 Factors'!#REF!</definedName>
    <definedName name="D_DISTOPX" localSheetId="2">'[3]Sched F4 Factors'!#REF!</definedName>
    <definedName name="D_DISTOPX" localSheetId="1">'[3]Sched F4 Factors'!#REF!</definedName>
    <definedName name="D_DISTOPX" localSheetId="10">'[3]Sched F4 Factors'!#REF!</definedName>
    <definedName name="D_DISTOPX">'[3]Sched F4 Factors'!#REF!</definedName>
    <definedName name="D_GNLPLTN">'[3]Sched F3 NTP_Factor'!$G$35</definedName>
    <definedName name="D_MILE" localSheetId="4">'[3]Sched F4 Factors'!#REF!</definedName>
    <definedName name="D_MILE" localSheetId="11">'[3]Sched F4 Factors'!#REF!</definedName>
    <definedName name="D_MILE" localSheetId="9">'[3]Sched F4 Factors'!#REF!</definedName>
    <definedName name="D_MILE" localSheetId="3">'[3]Sched F4 Factors'!#REF!</definedName>
    <definedName name="D_MILE" localSheetId="2">'[3]Sched F4 Factors'!#REF!</definedName>
    <definedName name="D_MILE" localSheetId="1">'[3]Sched F4 Factors'!#REF!</definedName>
    <definedName name="D_MILE" localSheetId="10">'[3]Sched F4 Factors'!#REF!</definedName>
    <definedName name="D_MILE">'[3]Sched F4 Factors'!#REF!</definedName>
    <definedName name="D_PAYXAG">'[3]Sched F1 Payroll Factors'!$G$16</definedName>
    <definedName name="D_PLTSVCN">'[3]Sched F3 NTP_Factor'!$G$48</definedName>
    <definedName name="D_PLTXGNLN">'[3]Sched F3 NTP_Factor'!$G$29</definedName>
    <definedName name="D_SQFT" localSheetId="4">'[3]Sched F4 Factors'!#REF!</definedName>
    <definedName name="D_SQFT" localSheetId="11">'[3]Sched F4 Factors'!#REF!</definedName>
    <definedName name="D_SQFT" localSheetId="9">'[3]Sched F4 Factors'!#REF!</definedName>
    <definedName name="D_SQFT" localSheetId="3">'[3]Sched F4 Factors'!#REF!</definedName>
    <definedName name="D_SQFT" localSheetId="2">'[3]Sched F4 Factors'!#REF!</definedName>
    <definedName name="D_SQFT" localSheetId="1">'[3]Sched F4 Factors'!#REF!</definedName>
    <definedName name="D_SQFT" localSheetId="10">'[3]Sched F4 Factors'!#REF!</definedName>
    <definedName name="D_SQFT">'[3]Sched F4 Factors'!#REF!</definedName>
    <definedName name="Degrade" localSheetId="11">#REF!</definedName>
    <definedName name="Degrade" localSheetId="3">#REF!</definedName>
    <definedName name="Degrade" localSheetId="2">#REF!</definedName>
    <definedName name="Degrade" localSheetId="1">#REF!</definedName>
    <definedName name="Degrade" localSheetId="10">#REF!</definedName>
    <definedName name="Degrade">#REF!</definedName>
    <definedName name="Loss_factor" localSheetId="11">#REF!</definedName>
    <definedName name="Loss_factor" localSheetId="3">#REF!</definedName>
    <definedName name="Loss_factor" localSheetId="2">#REF!</definedName>
    <definedName name="Loss_factor" localSheetId="1">#REF!</definedName>
    <definedName name="Loss_factor" localSheetId="10">#REF!</definedName>
    <definedName name="Loss_factor">#REF!</definedName>
    <definedName name="MG_data" localSheetId="11">#REF!</definedName>
    <definedName name="MG_data" localSheetId="3">#REF!</definedName>
    <definedName name="MG_data" localSheetId="2">#REF!</definedName>
    <definedName name="MG_data" localSheetId="1">#REF!</definedName>
    <definedName name="MG_data" localSheetId="10">#REF!</definedName>
    <definedName name="MG_data">#REF!</definedName>
    <definedName name="MG_date" localSheetId="11">#REF!</definedName>
    <definedName name="MG_date" localSheetId="3">#REF!</definedName>
    <definedName name="MG_date" localSheetId="2">#REF!</definedName>
    <definedName name="MG_date" localSheetId="1">#REF!</definedName>
    <definedName name="MG_date" localSheetId="10">#REF!</definedName>
    <definedName name="MG_date">#REF!</definedName>
    <definedName name="MG_label" localSheetId="11">#REF!</definedName>
    <definedName name="MG_label" localSheetId="3">#REF!</definedName>
    <definedName name="MG_label" localSheetId="2">#REF!</definedName>
    <definedName name="MG_label" localSheetId="1">#REF!</definedName>
    <definedName name="MG_label" localSheetId="10">#REF!</definedName>
    <definedName name="MG_label">#REF!</definedName>
    <definedName name="Mkt_purchase_price">[1]hourly_inputs!$E$3</definedName>
    <definedName name="Mkt_sale_price">[1]hourly_inputs!$E$2</definedName>
    <definedName name="month" localSheetId="11">#REF!</definedName>
    <definedName name="month" localSheetId="3">#REF!</definedName>
    <definedName name="month" localSheetId="2">#REF!</definedName>
    <definedName name="month" localSheetId="1">#REF!</definedName>
    <definedName name="month" localSheetId="10">#REF!</definedName>
    <definedName name="month">#REF!</definedName>
    <definedName name="monthly_year">[4]MEC_monthly!$D$3:$MY$3</definedName>
    <definedName name="NAMES">#N/A</definedName>
    <definedName name="P_DISTOPX" localSheetId="4">'[3]Sched F4 Factors'!#REF!</definedName>
    <definedName name="P_DISTOPX" localSheetId="11">'[3]Sched F4 Factors'!#REF!</definedName>
    <definedName name="P_DISTOPX" localSheetId="9">'[3]Sched F4 Factors'!#REF!</definedName>
    <definedName name="P_DISTOPX" localSheetId="3">'[3]Sched F4 Factors'!#REF!</definedName>
    <definedName name="P_DISTOPX" localSheetId="2">'[3]Sched F4 Factors'!#REF!</definedName>
    <definedName name="P_DISTOPX" localSheetId="1">'[3]Sched F4 Factors'!#REF!</definedName>
    <definedName name="P_DISTOPX" localSheetId="10">'[3]Sched F4 Factors'!#REF!</definedName>
    <definedName name="P_DISTOPX">'[3]Sched F4 Factors'!#REF!</definedName>
    <definedName name="P_GNLPLTN">'[3]Sched F3 NTP_Factor'!$D$35</definedName>
    <definedName name="P_MILE" localSheetId="4">'[3]Sched F4 Factors'!#REF!</definedName>
    <definedName name="P_MILE" localSheetId="11">'[3]Sched F4 Factors'!#REF!</definedName>
    <definedName name="P_MILE" localSheetId="9">'[3]Sched F4 Factors'!#REF!</definedName>
    <definedName name="P_MILE" localSheetId="3">'[3]Sched F4 Factors'!#REF!</definedName>
    <definedName name="P_MILE" localSheetId="2">'[3]Sched F4 Factors'!#REF!</definedName>
    <definedName name="P_MILE" localSheetId="1">'[3]Sched F4 Factors'!#REF!</definedName>
    <definedName name="P_MILE" localSheetId="10">'[3]Sched F4 Factors'!#REF!</definedName>
    <definedName name="P_MILE">'[3]Sched F4 Factors'!#REF!</definedName>
    <definedName name="P_PAYXAG">'[3]Sched F1 Payroll Factors'!$D$16</definedName>
    <definedName name="P_PLTSVCN">'[3]Sched F3 NTP_Factor'!$D$48</definedName>
    <definedName name="P_PLTXGNLN">'[3]Sched F3 NTP_Factor'!$D$29</definedName>
    <definedName name="P_SQFT" localSheetId="4">'[3]Sched F4 Factors'!#REF!</definedName>
    <definedName name="P_SQFT" localSheetId="11">'[3]Sched F4 Factors'!#REF!</definedName>
    <definedName name="P_SQFT" localSheetId="9">'[3]Sched F4 Factors'!#REF!</definedName>
    <definedName name="P_SQFT" localSheetId="3">'[3]Sched F4 Factors'!#REF!</definedName>
    <definedName name="P_SQFT" localSheetId="2">'[3]Sched F4 Factors'!#REF!</definedName>
    <definedName name="P_SQFT" localSheetId="1">'[3]Sched F4 Factors'!#REF!</definedName>
    <definedName name="P_SQFT" localSheetId="10">'[3]Sched F4 Factors'!#REF!</definedName>
    <definedName name="P_SQFT">'[3]Sched F4 Factors'!#REF!</definedName>
    <definedName name="_xlnm.Print_Area" localSheetId="4">AF!$A$5:$M$80</definedName>
    <definedName name="_xlnm.Print_Area" localSheetId="11">Changes!$A$7:$F$24</definedName>
    <definedName name="_xlnm.Print_Area" localSheetId="6">Debt!$A$1:$G$45</definedName>
    <definedName name="_xlnm.Print_Area" localSheetId="8">'Delivery Pts'!$A$1:$O$35</definedName>
    <definedName name="_xlnm.Print_Area" localSheetId="9">Depreciation!$A$1:$C$16</definedName>
    <definedName name="_xlnm.Print_Area" localSheetId="3">Expenses!$A$9:$AQ$290</definedName>
    <definedName name="_xlnm.Print_Area" localSheetId="2">Plant!$A$9:$AH$141</definedName>
    <definedName name="_xlnm.Print_Area" localSheetId="7">'Sub WP'!$A$1:$Q$39</definedName>
    <definedName name="_xlnm.Print_Area" localSheetId="1">Summary!$A$1:$L$36</definedName>
    <definedName name="_xlnm.Print_Area" localSheetId="5">Usage!$A$8:$P$16</definedName>
    <definedName name="_xlnm.Print_Area" localSheetId="10">'Usage WP'!$A$8:$R$63</definedName>
    <definedName name="_xlnm.Print_Titles" localSheetId="4">AF!$1:$4</definedName>
    <definedName name="_xlnm.Print_Titles" localSheetId="11">Changes!$1:$6</definedName>
    <definedName name="_xlnm.Print_Titles" localSheetId="3">Expenses!$A:$C,Expenses!$1:$8</definedName>
    <definedName name="_xlnm.Print_Titles" localSheetId="2">Plant!$A:$C,Plant!$1:$8</definedName>
    <definedName name="_xlnm.Print_Titles" localSheetId="5">Usage!$1:$7</definedName>
    <definedName name="_xlnm.Print_Titles" localSheetId="10">'Usage WP'!$1:$7</definedName>
    <definedName name="ST_GAS_TRADE_Price">[1]Step_2B_Member_Trades_Pooled_Ga!$L$10</definedName>
    <definedName name="start_date">[4]run_model!$E$7</definedName>
    <definedName name="T_DISTOPX" localSheetId="4">'[3]Sched F4 Factors'!#REF!</definedName>
    <definedName name="T_DISTOPX" localSheetId="11">'[3]Sched F4 Factors'!#REF!</definedName>
    <definedName name="T_DISTOPX" localSheetId="9">'[3]Sched F4 Factors'!#REF!</definedName>
    <definedName name="T_DISTOPX" localSheetId="3">'[3]Sched F4 Factors'!#REF!</definedName>
    <definedName name="T_DISTOPX" localSheetId="2">'[3]Sched F4 Factors'!#REF!</definedName>
    <definedName name="T_DISTOPX" localSheetId="1">'[3]Sched F4 Factors'!#REF!</definedName>
    <definedName name="T_DISTOPX" localSheetId="10">'[3]Sched F4 Factors'!#REF!</definedName>
    <definedName name="T_DISTOPX">'[3]Sched F4 Factors'!#REF!</definedName>
    <definedName name="T_GNLPLTN">'[3]Sched F3 NTP_Factor'!$E$35</definedName>
    <definedName name="T_MILE" localSheetId="4">'[3]Sched F4 Factors'!#REF!</definedName>
    <definedName name="T_MILE" localSheetId="11">'[3]Sched F4 Factors'!#REF!</definedName>
    <definedName name="T_MILE" localSheetId="9">'[3]Sched F4 Factors'!#REF!</definedName>
    <definedName name="T_MILE" localSheetId="3">'[3]Sched F4 Factors'!#REF!</definedName>
    <definedName name="T_MILE" localSheetId="2">'[3]Sched F4 Factors'!#REF!</definedName>
    <definedName name="T_MILE" localSheetId="1">'[3]Sched F4 Factors'!#REF!</definedName>
    <definedName name="T_MILE" localSheetId="10">'[3]Sched F4 Factors'!#REF!</definedName>
    <definedName name="T_MILE">'[3]Sched F4 Factors'!#REF!</definedName>
    <definedName name="T_PAYXAG">'[3]Sched F1 Payroll Factors'!$E$16</definedName>
    <definedName name="T_PLTSVCN">'[3]Sched F3 NTP_Factor'!$E$48</definedName>
    <definedName name="T_PLTXGNLN">'[3]Sched F3 NTP_Factor'!$E$29</definedName>
    <definedName name="T_SQFT" localSheetId="4">'[3]Sched F4 Factors'!#REF!</definedName>
    <definedName name="T_SQFT" localSheetId="11">'[3]Sched F4 Factors'!#REF!</definedName>
    <definedName name="T_SQFT" localSheetId="9">'[3]Sched F4 Factors'!#REF!</definedName>
    <definedName name="T_SQFT" localSheetId="3">'[3]Sched F4 Factors'!#REF!</definedName>
    <definedName name="T_SQFT" localSheetId="2">'[3]Sched F4 Factors'!#REF!</definedName>
    <definedName name="T_SQFT" localSheetId="1">'[3]Sched F4 Factors'!#REF!</definedName>
    <definedName name="T_SQFT" localSheetId="10">'[3]Sched F4 Factors'!#REF!</definedName>
    <definedName name="T_SQFT">'[3]Sched F4 Factors'!#REF!</definedName>
    <definedName name="Test_Year">'[3]INPUTS - Other'!$C$4</definedName>
    <definedName name="TESTYEAR">#N/A</definedName>
    <definedName name="TEXAS_ALLOC">'[3]INPUTS - Other'!$C$37</definedName>
    <definedName name="TO_DISTOPX" localSheetId="4">'[3]Sched F4 Factors'!#REF!</definedName>
    <definedName name="TO_DISTOPX" localSheetId="11">'[3]Sched F4 Factors'!#REF!</definedName>
    <definedName name="TO_DISTOPX" localSheetId="9">'[3]Sched F4 Factors'!#REF!</definedName>
    <definedName name="TO_DISTOPX" localSheetId="3">'[3]Sched F4 Factors'!#REF!</definedName>
    <definedName name="TO_DISTOPX" localSheetId="2">'[3]Sched F4 Factors'!#REF!</definedName>
    <definedName name="TO_DISTOPX" localSheetId="1">'[3]Sched F4 Factors'!#REF!</definedName>
    <definedName name="TO_DISTOPX" localSheetId="10">'[3]Sched F4 Factors'!#REF!</definedName>
    <definedName name="TO_DISTOPX">'[3]Sched F4 Factors'!#REF!</definedName>
    <definedName name="TO_GNLPLTN">'[3]Sched F3 NTP_Factor'!$F$35</definedName>
    <definedName name="TO_MILE" localSheetId="4">'[3]Sched F4 Factors'!#REF!</definedName>
    <definedName name="TO_MILE" localSheetId="11">'[3]Sched F4 Factors'!#REF!</definedName>
    <definedName name="TO_MILE" localSheetId="9">'[3]Sched F4 Factors'!#REF!</definedName>
    <definedName name="TO_MILE" localSheetId="3">'[3]Sched F4 Factors'!#REF!</definedName>
    <definedName name="TO_MILE" localSheetId="2">'[3]Sched F4 Factors'!#REF!</definedName>
    <definedName name="TO_MILE" localSheetId="1">'[3]Sched F4 Factors'!#REF!</definedName>
    <definedName name="TO_MILE" localSheetId="10">'[3]Sched F4 Factors'!#REF!</definedName>
    <definedName name="TO_MILE">'[3]Sched F4 Factors'!#REF!</definedName>
    <definedName name="TO_PAYXAG">'[3]Sched F1 Payroll Factors'!$F$16</definedName>
    <definedName name="TO_PLTSVCN">'[3]Sched F3 NTP_Factor'!$F$48</definedName>
    <definedName name="TO_SQFT" localSheetId="4">'[3]Sched F4 Factors'!#REF!</definedName>
    <definedName name="TO_SQFT" localSheetId="11">'[3]Sched F4 Factors'!#REF!</definedName>
    <definedName name="TO_SQFT" localSheetId="9">'[3]Sched F4 Factors'!#REF!</definedName>
    <definedName name="TO_SQFT" localSheetId="3">'[3]Sched F4 Factors'!#REF!</definedName>
    <definedName name="TO_SQFT" localSheetId="2">'[3]Sched F4 Factors'!#REF!</definedName>
    <definedName name="TO_SQFT" localSheetId="1">'[3]Sched F4 Factors'!#REF!</definedName>
    <definedName name="TO_SQFT" localSheetId="10">'[3]Sched F4 Factors'!#REF!</definedName>
    <definedName name="TO_SQFT">'[3]Sched F4 Factors'!#REF!</definedName>
    <definedName name="TO_SQFT2" localSheetId="4">'[3]Sched F4 Factors'!#REF!</definedName>
    <definedName name="TO_SQFT2" localSheetId="11">'[3]Sched F4 Factors'!#REF!</definedName>
    <definedName name="TO_SQFT2" localSheetId="9">'[3]Sched F4 Factors'!#REF!</definedName>
    <definedName name="TO_SQFT2" localSheetId="3">'[3]Sched F4 Factors'!#REF!</definedName>
    <definedName name="TO_SQFT2" localSheetId="2">'[3]Sched F4 Factors'!#REF!</definedName>
    <definedName name="TO_SQFT2" localSheetId="1">'[3]Sched F4 Factors'!#REF!</definedName>
    <definedName name="TO_SQFT2" localSheetId="10">'[3]Sched F4 Factors'!#REF!</definedName>
    <definedName name="TO_SQFT2">'[3]Sched F4 Factors'!#REF!</definedName>
    <definedName name="Total_AC_Capacity" localSheetId="11">#REF!</definedName>
    <definedName name="Total_AC_Capacity" localSheetId="3">#REF!</definedName>
    <definedName name="Total_AC_Capacity" localSheetId="2">#REF!</definedName>
    <definedName name="Total_AC_Capacity" localSheetId="1">#REF!</definedName>
    <definedName name="Total_AC_Capacity" localSheetId="10">#REF!</definedName>
    <definedName name="Total_AC_Capacity">#REF!</definedName>
    <definedName name="Total_Wärtsilä_Units" localSheetId="11">#REF!</definedName>
    <definedName name="Total_Wärtsilä_Units" localSheetId="3">#REF!</definedName>
    <definedName name="Total_Wärtsilä_Units" localSheetId="2">#REF!</definedName>
    <definedName name="Total_Wärtsilä_Units" localSheetId="1">#REF!</definedName>
    <definedName name="Total_Wärtsilä_Units" localSheetId="10">#REF!</definedName>
    <definedName name="Total_Wärtsilä_Units">#REF!</definedName>
    <definedName name="TY">#N/A</definedName>
    <definedName name="w_TCEC_Wartsilas_in_ERCOT" localSheetId="11">#REF!</definedName>
    <definedName name="w_TCEC_Wartsilas_in_ERCOT" localSheetId="3">#REF!</definedName>
    <definedName name="w_TCEC_Wartsilas_in_ERCOT" localSheetId="2">#REF!</definedName>
    <definedName name="w_TCEC_Wartsilas_in_ERCOT" localSheetId="1">#REF!</definedName>
    <definedName name="w_TCEC_Wartsilas_in_ERCOT" localSheetId="10">#REF!</definedName>
    <definedName name="w_TCEC_Wartsilas_in_ERCOT">#REF!</definedName>
    <definedName name="w_TCEC_Wartsilas_in_SPP" localSheetId="11">#REF!</definedName>
    <definedName name="w_TCEC_Wartsilas_in_SPP" localSheetId="3">#REF!</definedName>
    <definedName name="w_TCEC_Wartsilas_in_SPP" localSheetId="2">#REF!</definedName>
    <definedName name="w_TCEC_Wartsilas_in_SPP" localSheetId="1">#REF!</definedName>
    <definedName name="w_TCEC_Wartsilas_in_SPP" localSheetId="10">#REF!</definedName>
    <definedName name="w_TCEC_Wartsilas_in_SPP">#REF!</definedName>
    <definedName name="year" localSheetId="11">#REF!</definedName>
    <definedName name="year" localSheetId="3">#REF!</definedName>
    <definedName name="year" localSheetId="2">#REF!</definedName>
    <definedName name="year" localSheetId="1">#REF!</definedName>
    <definedName name="year" localSheetId="10">#REF!</definedName>
    <definedName name="year">#REF!</definedName>
  </definedNames>
  <calcPr calcId="191029" iterate="1" iterateCount="1000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7" i="36" l="1"/>
  <c r="C27" i="36"/>
  <c r="A27" i="36"/>
  <c r="A12" i="36"/>
  <c r="A13" i="36" s="1"/>
  <c r="A14" i="36" s="1"/>
  <c r="A15" i="36" s="1"/>
  <c r="A16" i="36" s="1"/>
  <c r="A17" i="36" s="1"/>
  <c r="A18" i="36" s="1"/>
  <c r="A19" i="36" s="1"/>
  <c r="A20" i="36" s="1"/>
  <c r="A21" i="36" s="1"/>
  <c r="A22" i="36" s="1"/>
  <c r="A23" i="36" s="1"/>
  <c r="A24" i="36" s="1"/>
  <c r="A25" i="36" s="1"/>
  <c r="A26" i="36" s="1"/>
  <c r="A11" i="36"/>
  <c r="AP242" i="30"/>
  <c r="AQ242" i="30" s="1"/>
  <c r="AO242" i="30"/>
  <c r="Q244" i="30"/>
  <c r="P244" i="30"/>
  <c r="O244" i="30"/>
  <c r="AH243" i="30" l="1"/>
  <c r="AG243" i="30"/>
  <c r="AF243" i="30"/>
  <c r="AE243" i="30"/>
  <c r="AM242" i="30"/>
  <c r="AL242" i="30"/>
  <c r="AK242" i="30"/>
  <c r="AJ242" i="30"/>
  <c r="AI242" i="30"/>
  <c r="AH242" i="30"/>
  <c r="AG242" i="30"/>
  <c r="AF242" i="30"/>
  <c r="AE242" i="30"/>
  <c r="Z242" i="30"/>
  <c r="AA242" i="30" s="1"/>
  <c r="Y242" i="30"/>
  <c r="T243" i="30"/>
  <c r="AJ243" i="30" s="1"/>
  <c r="S243" i="30"/>
  <c r="AI243" i="30" s="1"/>
  <c r="R243" i="30"/>
  <c r="Q243" i="30"/>
  <c r="P243" i="30"/>
  <c r="O243" i="30"/>
  <c r="V242" i="30"/>
  <c r="U242" i="30"/>
  <c r="T242" i="30"/>
  <c r="S242" i="30"/>
  <c r="R242" i="30"/>
  <c r="Q242" i="30"/>
  <c r="P242" i="30"/>
  <c r="O242" i="30"/>
  <c r="W242" i="30" s="1"/>
  <c r="I244" i="30" l="1"/>
  <c r="K242" i="30"/>
  <c r="J243" i="30"/>
  <c r="J242" i="30"/>
  <c r="I242" i="30"/>
  <c r="V243" i="30" l="1"/>
  <c r="U243" i="30"/>
  <c r="D7" i="24"/>
  <c r="E7" i="24"/>
  <c r="AK243" i="30" l="1"/>
  <c r="Y243" i="30"/>
  <c r="W243" i="30"/>
  <c r="Z243" i="30"/>
  <c r="AL243" i="30"/>
  <c r="AP243" i="30" s="1"/>
  <c r="E259" i="30"/>
  <c r="AO243" i="30" l="1"/>
  <c r="AM243" i="30"/>
  <c r="AA243" i="30"/>
  <c r="E250" i="30"/>
  <c r="AQ243" i="30" l="1"/>
  <c r="E42" i="26"/>
  <c r="K206" i="30" l="1"/>
  <c r="K146" i="30"/>
  <c r="E54" i="30" l="1"/>
  <c r="E240" i="30" l="1"/>
  <c r="G81" i="26"/>
  <c r="V81" i="26" s="1"/>
  <c r="H81" i="26"/>
  <c r="I81" i="26"/>
  <c r="X81" i="26" s="1"/>
  <c r="J81" i="26"/>
  <c r="L81" i="26"/>
  <c r="AA81" i="26" s="1"/>
  <c r="M81" i="26"/>
  <c r="AB81" i="26" s="1"/>
  <c r="N81" i="26"/>
  <c r="K81" i="26"/>
  <c r="Z81" i="26" s="1"/>
  <c r="G82" i="26"/>
  <c r="H82" i="26"/>
  <c r="I82" i="26"/>
  <c r="J82" i="26"/>
  <c r="L82" i="26"/>
  <c r="M82" i="26"/>
  <c r="N82" i="26"/>
  <c r="K82" i="26"/>
  <c r="G83" i="26"/>
  <c r="V83" i="26" s="1"/>
  <c r="H83" i="26"/>
  <c r="I83" i="26"/>
  <c r="X83" i="26" s="1"/>
  <c r="J83" i="26"/>
  <c r="Y83" i="26" s="1"/>
  <c r="L83" i="26"/>
  <c r="AA83" i="26" s="1"/>
  <c r="M83" i="26"/>
  <c r="AB83" i="26" s="1"/>
  <c r="N83" i="26"/>
  <c r="K83" i="26"/>
  <c r="Z83" i="26" s="1"/>
  <c r="G84" i="26"/>
  <c r="V84" i="26" s="1"/>
  <c r="H84" i="26"/>
  <c r="W84" i="26" s="1"/>
  <c r="I84" i="26"/>
  <c r="X84" i="26" s="1"/>
  <c r="J84" i="26"/>
  <c r="Y84" i="26" s="1"/>
  <c r="L84" i="26"/>
  <c r="AA84" i="26" s="1"/>
  <c r="M84" i="26"/>
  <c r="N84" i="26"/>
  <c r="AC84" i="26" s="1"/>
  <c r="K84" i="26"/>
  <c r="Z84" i="26" s="1"/>
  <c r="G85" i="26"/>
  <c r="V85" i="26" s="1"/>
  <c r="H85" i="26"/>
  <c r="W85" i="26" s="1"/>
  <c r="I85" i="26"/>
  <c r="X85" i="26" s="1"/>
  <c r="J85" i="26"/>
  <c r="Y85" i="26" s="1"/>
  <c r="L85" i="26"/>
  <c r="AA85" i="26" s="1"/>
  <c r="M85" i="26"/>
  <c r="AB85" i="26" s="1"/>
  <c r="N85" i="26"/>
  <c r="K85" i="26"/>
  <c r="Z85" i="26" s="1"/>
  <c r="G86" i="26"/>
  <c r="V86" i="26" s="1"/>
  <c r="H86" i="26"/>
  <c r="H133" i="26" s="1"/>
  <c r="I86" i="26"/>
  <c r="J86" i="26"/>
  <c r="Y86" i="26" s="1"/>
  <c r="L86" i="26"/>
  <c r="L133" i="26" s="1"/>
  <c r="M86" i="26"/>
  <c r="N86" i="26"/>
  <c r="N133" i="26" s="1"/>
  <c r="K86" i="26"/>
  <c r="Z86" i="26" s="1"/>
  <c r="Z39" i="26"/>
  <c r="Z41" i="26"/>
  <c r="Z43" i="26"/>
  <c r="Z45" i="26"/>
  <c r="Z47" i="26"/>
  <c r="Z49" i="26"/>
  <c r="Z51" i="26"/>
  <c r="Z53" i="26"/>
  <c r="Z55" i="26"/>
  <c r="Z57" i="26"/>
  <c r="Z59" i="26"/>
  <c r="Z64" i="26"/>
  <c r="Z66" i="26"/>
  <c r="Z68" i="26"/>
  <c r="Z70" i="26"/>
  <c r="Z72" i="26"/>
  <c r="Z74" i="26"/>
  <c r="Z76" i="26"/>
  <c r="Z78" i="26"/>
  <c r="Z80" i="26"/>
  <c r="I53" i="30"/>
  <c r="S53" i="30" s="1"/>
  <c r="AI53" i="30" s="1"/>
  <c r="I55" i="30"/>
  <c r="I56" i="30"/>
  <c r="S56" i="30" s="1"/>
  <c r="AI56" i="30" s="1"/>
  <c r="K133" i="26"/>
  <c r="Z63" i="26"/>
  <c r="I231" i="30"/>
  <c r="S231" i="30" s="1"/>
  <c r="I232" i="30"/>
  <c r="S232" i="30" s="1"/>
  <c r="I233" i="30"/>
  <c r="S233" i="30" s="1"/>
  <c r="I239" i="30"/>
  <c r="S239" i="30" s="1"/>
  <c r="I240" i="30"/>
  <c r="S240" i="30" s="1"/>
  <c r="I258" i="30"/>
  <c r="I10" i="30"/>
  <c r="S10" i="30" s="1"/>
  <c r="AI10" i="30" s="1"/>
  <c r="I11" i="30"/>
  <c r="S11" i="30" s="1"/>
  <c r="AI11" i="30" s="1"/>
  <c r="I12" i="30"/>
  <c r="S12" i="30" s="1"/>
  <c r="AI12" i="30" s="1"/>
  <c r="I13" i="30"/>
  <c r="S13" i="30" s="1"/>
  <c r="AI13" i="30" s="1"/>
  <c r="I14" i="30"/>
  <c r="S14" i="30" s="1"/>
  <c r="AI14" i="30" s="1"/>
  <c r="I15" i="30"/>
  <c r="S15" i="30" s="1"/>
  <c r="AI15" i="30" s="1"/>
  <c r="I16" i="30"/>
  <c r="I17" i="30"/>
  <c r="S17" i="30" s="1"/>
  <c r="AI17" i="30" s="1"/>
  <c r="I18" i="30"/>
  <c r="S18" i="30" s="1"/>
  <c r="I22" i="30"/>
  <c r="S22" i="30" s="1"/>
  <c r="AI22" i="30" s="1"/>
  <c r="I23" i="30"/>
  <c r="S23" i="30" s="1"/>
  <c r="AI23" i="30" s="1"/>
  <c r="I24" i="30"/>
  <c r="I25" i="30"/>
  <c r="S25" i="30" s="1"/>
  <c r="AI25" i="30" s="1"/>
  <c r="I26" i="30"/>
  <c r="S26" i="30" s="1"/>
  <c r="AI26" i="30" s="1"/>
  <c r="I33" i="30"/>
  <c r="S33" i="30" s="1"/>
  <c r="AI33" i="30" s="1"/>
  <c r="I34" i="30"/>
  <c r="S34" i="30" s="1"/>
  <c r="AI34" i="30" s="1"/>
  <c r="I35" i="30"/>
  <c r="S35" i="30" s="1"/>
  <c r="I36" i="30"/>
  <c r="S36" i="30" s="1"/>
  <c r="AI36" i="30" s="1"/>
  <c r="I37" i="30"/>
  <c r="S37" i="30" s="1"/>
  <c r="AI37" i="30" s="1"/>
  <c r="I42" i="30"/>
  <c r="S42" i="30" s="1"/>
  <c r="AI42" i="30" s="1"/>
  <c r="I43" i="30"/>
  <c r="S43" i="30" s="1"/>
  <c r="I44" i="30"/>
  <c r="S44" i="30" s="1"/>
  <c r="AI44" i="30" s="1"/>
  <c r="I45" i="30"/>
  <c r="S45" i="30" s="1"/>
  <c r="AI45" i="30" s="1"/>
  <c r="I63" i="30"/>
  <c r="S63" i="30" s="1"/>
  <c r="AI63" i="30" s="1"/>
  <c r="I67" i="30"/>
  <c r="S67" i="30" s="1"/>
  <c r="AI67" i="30" s="1"/>
  <c r="I69" i="30"/>
  <c r="S69" i="30" s="1"/>
  <c r="AI69" i="30" s="1"/>
  <c r="I71" i="30"/>
  <c r="S71" i="30" s="1"/>
  <c r="AI71" i="30" s="1"/>
  <c r="I73" i="30"/>
  <c r="S73" i="30" s="1"/>
  <c r="AI73" i="30" s="1"/>
  <c r="I75" i="30"/>
  <c r="I77" i="30"/>
  <c r="S77" i="30" s="1"/>
  <c r="AI77" i="30" s="1"/>
  <c r="I83" i="30"/>
  <c r="S83" i="30" s="1"/>
  <c r="I85" i="30"/>
  <c r="S85" i="30" s="1"/>
  <c r="AI85" i="30" s="1"/>
  <c r="I87" i="30"/>
  <c r="S87" i="30" s="1"/>
  <c r="AI87" i="30" s="1"/>
  <c r="I89" i="30"/>
  <c r="S89" i="30" s="1"/>
  <c r="AI89" i="30" s="1"/>
  <c r="I94" i="30"/>
  <c r="S94" i="30" s="1"/>
  <c r="AI94" i="30" s="1"/>
  <c r="I96" i="30"/>
  <c r="S96" i="30" s="1"/>
  <c r="AI96" i="30" s="1"/>
  <c r="I98" i="30"/>
  <c r="S98" i="30" s="1"/>
  <c r="AI98" i="30" s="1"/>
  <c r="I100" i="30"/>
  <c r="S100" i="30" s="1"/>
  <c r="AI100" i="30" s="1"/>
  <c r="I102" i="30"/>
  <c r="S102" i="30" s="1"/>
  <c r="AI102" i="30" s="1"/>
  <c r="I104" i="30"/>
  <c r="S104" i="30" s="1"/>
  <c r="AI104" i="30" s="1"/>
  <c r="I110" i="30"/>
  <c r="S110" i="30" s="1"/>
  <c r="AI110" i="30" s="1"/>
  <c r="I112" i="30"/>
  <c r="I120" i="30"/>
  <c r="I121" i="30"/>
  <c r="S121" i="30" s="1"/>
  <c r="AI121" i="30" s="1"/>
  <c r="I122" i="30"/>
  <c r="S122" i="30" s="1"/>
  <c r="I123" i="30"/>
  <c r="S123" i="30" s="1"/>
  <c r="AI123" i="30" s="1"/>
  <c r="I124" i="30"/>
  <c r="S124" i="30" s="1"/>
  <c r="AI124" i="30" s="1"/>
  <c r="I125" i="30"/>
  <c r="I126" i="30"/>
  <c r="I127" i="30"/>
  <c r="S127" i="30" s="1"/>
  <c r="AI127" i="30" s="1"/>
  <c r="I131" i="30"/>
  <c r="S131" i="30" s="1"/>
  <c r="AI131" i="30" s="1"/>
  <c r="I132" i="30"/>
  <c r="S132" i="30" s="1"/>
  <c r="AI132" i="30" s="1"/>
  <c r="I133" i="30"/>
  <c r="S133" i="30" s="1"/>
  <c r="AI133" i="30" s="1"/>
  <c r="I134" i="30"/>
  <c r="S134" i="30" s="1"/>
  <c r="AI134" i="30" s="1"/>
  <c r="I135" i="30"/>
  <c r="S135" i="30" s="1"/>
  <c r="AI135" i="30" s="1"/>
  <c r="I141" i="30"/>
  <c r="I143" i="30"/>
  <c r="I147" i="30"/>
  <c r="I149" i="30"/>
  <c r="I151" i="30"/>
  <c r="I152" i="30"/>
  <c r="S152" i="30" s="1"/>
  <c r="AI152" i="30" s="1"/>
  <c r="I153" i="30"/>
  <c r="I154" i="30"/>
  <c r="I155" i="30"/>
  <c r="I171" i="30"/>
  <c r="I172" i="30"/>
  <c r="I173" i="30"/>
  <c r="I179" i="30"/>
  <c r="S179" i="30" s="1"/>
  <c r="AI179" i="30" s="1"/>
  <c r="I180" i="30"/>
  <c r="S180" i="30" s="1"/>
  <c r="AI180" i="30" s="1"/>
  <c r="I181" i="30"/>
  <c r="I182" i="30"/>
  <c r="S182" i="30" s="1"/>
  <c r="AI182" i="30" s="1"/>
  <c r="I183" i="30"/>
  <c r="S183" i="30" s="1"/>
  <c r="AI183" i="30" s="1"/>
  <c r="I187" i="30"/>
  <c r="I188" i="30"/>
  <c r="I189" i="30"/>
  <c r="I190" i="30"/>
  <c r="I194" i="30"/>
  <c r="I195" i="30"/>
  <c r="I196" i="30"/>
  <c r="I197" i="30"/>
  <c r="V39" i="26"/>
  <c r="V41" i="26"/>
  <c r="V43" i="26"/>
  <c r="V45" i="26"/>
  <c r="V47" i="26"/>
  <c r="V49" i="26"/>
  <c r="V51" i="26"/>
  <c r="V53" i="26"/>
  <c r="V55" i="26"/>
  <c r="V57" i="26"/>
  <c r="V59" i="26"/>
  <c r="V63" i="26"/>
  <c r="V64" i="26"/>
  <c r="V66" i="26"/>
  <c r="V68" i="26"/>
  <c r="V70" i="26"/>
  <c r="V72" i="26"/>
  <c r="V74" i="26"/>
  <c r="V76" i="26"/>
  <c r="V78" i="26"/>
  <c r="V80" i="26"/>
  <c r="G53" i="30"/>
  <c r="O53" i="30" s="1"/>
  <c r="AE53" i="30" s="1"/>
  <c r="G55" i="30"/>
  <c r="P55" i="30" s="1"/>
  <c r="AF55" i="30" s="1"/>
  <c r="G56" i="30"/>
  <c r="O56" i="30" s="1"/>
  <c r="AE56" i="30" s="1"/>
  <c r="G10" i="30"/>
  <c r="O10" i="30" s="1"/>
  <c r="AE10" i="30" s="1"/>
  <c r="G11" i="30"/>
  <c r="G12" i="30"/>
  <c r="O12" i="30" s="1"/>
  <c r="AE12" i="30" s="1"/>
  <c r="G13" i="30"/>
  <c r="O13" i="30" s="1"/>
  <c r="AE13" i="30" s="1"/>
  <c r="G14" i="30"/>
  <c r="G15" i="30"/>
  <c r="O15" i="30" s="1"/>
  <c r="AE15" i="30" s="1"/>
  <c r="G16" i="30"/>
  <c r="O16" i="30" s="1"/>
  <c r="AE16" i="30" s="1"/>
  <c r="G17" i="30"/>
  <c r="O17" i="30" s="1"/>
  <c r="AE17" i="30" s="1"/>
  <c r="G18" i="30"/>
  <c r="O18" i="30" s="1"/>
  <c r="AE18" i="30" s="1"/>
  <c r="G22" i="30"/>
  <c r="O22" i="30" s="1"/>
  <c r="AE22" i="30" s="1"/>
  <c r="G23" i="30"/>
  <c r="O23" i="30" s="1"/>
  <c r="AE23" i="30" s="1"/>
  <c r="G24" i="30"/>
  <c r="G25" i="30"/>
  <c r="G26" i="30"/>
  <c r="O26" i="30" s="1"/>
  <c r="AE26" i="30" s="1"/>
  <c r="G33" i="30"/>
  <c r="O33" i="30" s="1"/>
  <c r="AE33" i="30" s="1"/>
  <c r="G34" i="30"/>
  <c r="O34" i="30" s="1"/>
  <c r="AE34" i="30" s="1"/>
  <c r="G35" i="30"/>
  <c r="G36" i="30"/>
  <c r="O36" i="30" s="1"/>
  <c r="AE36" i="30" s="1"/>
  <c r="G37" i="30"/>
  <c r="O37" i="30" s="1"/>
  <c r="G42" i="30"/>
  <c r="O42" i="30" s="1"/>
  <c r="AE42" i="30" s="1"/>
  <c r="G43" i="30"/>
  <c r="O43" i="30" s="1"/>
  <c r="AE43" i="30" s="1"/>
  <c r="G44" i="30"/>
  <c r="G45" i="30"/>
  <c r="O45" i="30" s="1"/>
  <c r="AE45" i="30" s="1"/>
  <c r="G63" i="30"/>
  <c r="O63" i="30" s="1"/>
  <c r="AE63" i="30" s="1"/>
  <c r="G67" i="30"/>
  <c r="O67" i="30" s="1"/>
  <c r="AE67" i="30" s="1"/>
  <c r="G69" i="30"/>
  <c r="O69" i="30" s="1"/>
  <c r="AE69" i="30" s="1"/>
  <c r="G71" i="30"/>
  <c r="G73" i="30"/>
  <c r="O73" i="30" s="1"/>
  <c r="AE73" i="30" s="1"/>
  <c r="G75" i="30"/>
  <c r="O75" i="30" s="1"/>
  <c r="AE75" i="30" s="1"/>
  <c r="G77" i="30"/>
  <c r="O77" i="30" s="1"/>
  <c r="AE77" i="30" s="1"/>
  <c r="G83" i="30"/>
  <c r="O83" i="30" s="1"/>
  <c r="AE83" i="30" s="1"/>
  <c r="G85" i="30"/>
  <c r="O85" i="30" s="1"/>
  <c r="AE85" i="30" s="1"/>
  <c r="G87" i="30"/>
  <c r="G89" i="30"/>
  <c r="G94" i="30"/>
  <c r="O94" i="30" s="1"/>
  <c r="AE94" i="30" s="1"/>
  <c r="G96" i="30"/>
  <c r="O96" i="30" s="1"/>
  <c r="AE96" i="30" s="1"/>
  <c r="G98" i="30"/>
  <c r="O98" i="30" s="1"/>
  <c r="AE98" i="30" s="1"/>
  <c r="G100" i="30"/>
  <c r="G102" i="30"/>
  <c r="G104" i="30"/>
  <c r="O104" i="30" s="1"/>
  <c r="AE104" i="30" s="1"/>
  <c r="G110" i="30"/>
  <c r="G112" i="30"/>
  <c r="O112" i="30" s="1"/>
  <c r="AE112" i="30" s="1"/>
  <c r="G120" i="30"/>
  <c r="O120" i="30" s="1"/>
  <c r="G121" i="30"/>
  <c r="G122" i="30"/>
  <c r="G123" i="30"/>
  <c r="O123" i="30" s="1"/>
  <c r="AE123" i="30" s="1"/>
  <c r="G124" i="30"/>
  <c r="O124" i="30" s="1"/>
  <c r="AE124" i="30" s="1"/>
  <c r="G125" i="30"/>
  <c r="G126" i="30"/>
  <c r="O126" i="30" s="1"/>
  <c r="G127" i="30"/>
  <c r="O127" i="30" s="1"/>
  <c r="AE127" i="30" s="1"/>
  <c r="G131" i="30"/>
  <c r="O131" i="30" s="1"/>
  <c r="AE131" i="30" s="1"/>
  <c r="G132" i="30"/>
  <c r="O132" i="30" s="1"/>
  <c r="AE132" i="30" s="1"/>
  <c r="G133" i="30"/>
  <c r="O133" i="30" s="1"/>
  <c r="AE133" i="30" s="1"/>
  <c r="G134" i="30"/>
  <c r="O134" i="30" s="1"/>
  <c r="AE134" i="30" s="1"/>
  <c r="G135" i="30"/>
  <c r="G141" i="30"/>
  <c r="G143" i="30"/>
  <c r="G147" i="30"/>
  <c r="G149" i="30"/>
  <c r="G151" i="30"/>
  <c r="G152" i="30"/>
  <c r="O152" i="30" s="1"/>
  <c r="AE152" i="30" s="1"/>
  <c r="G153" i="30"/>
  <c r="G154" i="30"/>
  <c r="G155" i="30"/>
  <c r="G171" i="30"/>
  <c r="G172" i="30"/>
  <c r="G173" i="30"/>
  <c r="G179" i="30"/>
  <c r="P179" i="30" s="1"/>
  <c r="AF179" i="30" s="1"/>
  <c r="G180" i="30"/>
  <c r="O180" i="30" s="1"/>
  <c r="AE180" i="30" s="1"/>
  <c r="G181" i="30"/>
  <c r="P181" i="30" s="1"/>
  <c r="AF181" i="30" s="1"/>
  <c r="G182" i="30"/>
  <c r="O182" i="30" s="1"/>
  <c r="AE182" i="30" s="1"/>
  <c r="G183" i="30"/>
  <c r="O183" i="30" s="1"/>
  <c r="AE183" i="30" s="1"/>
  <c r="G187" i="30"/>
  <c r="G188" i="30"/>
  <c r="G189" i="30"/>
  <c r="G190" i="30"/>
  <c r="G194" i="30"/>
  <c r="G195" i="30"/>
  <c r="G196" i="30"/>
  <c r="G197" i="30"/>
  <c r="W39" i="26"/>
  <c r="W41" i="26"/>
  <c r="W43" i="26"/>
  <c r="W45" i="26"/>
  <c r="W47" i="26"/>
  <c r="W49" i="26"/>
  <c r="W51" i="26"/>
  <c r="W53" i="26"/>
  <c r="W55" i="26"/>
  <c r="W57" i="26"/>
  <c r="W59" i="26"/>
  <c r="W64" i="26"/>
  <c r="W66" i="26"/>
  <c r="W68" i="26"/>
  <c r="W70" i="26"/>
  <c r="W72" i="26"/>
  <c r="W74" i="26"/>
  <c r="W76" i="26"/>
  <c r="W78" i="26"/>
  <c r="W80" i="26"/>
  <c r="W63" i="26"/>
  <c r="W81" i="26"/>
  <c r="W83" i="26"/>
  <c r="W86" i="26"/>
  <c r="X39" i="26"/>
  <c r="X41" i="26"/>
  <c r="X43" i="26"/>
  <c r="X45" i="26"/>
  <c r="X47" i="26"/>
  <c r="X49" i="26"/>
  <c r="X51" i="26"/>
  <c r="X53" i="26"/>
  <c r="X55" i="26"/>
  <c r="X57" i="26"/>
  <c r="X59" i="26"/>
  <c r="X64" i="26"/>
  <c r="X66" i="26"/>
  <c r="X68" i="26"/>
  <c r="X70" i="26"/>
  <c r="X72" i="26"/>
  <c r="X74" i="26"/>
  <c r="X76" i="26"/>
  <c r="X78" i="26"/>
  <c r="X80" i="26"/>
  <c r="H53" i="30"/>
  <c r="Q53" i="30" s="1"/>
  <c r="AG53" i="30" s="1"/>
  <c r="H55" i="30"/>
  <c r="H56" i="30"/>
  <c r="R56" i="30" s="1"/>
  <c r="AH56" i="30" s="1"/>
  <c r="J133" i="26"/>
  <c r="X63" i="26"/>
  <c r="H10" i="30"/>
  <c r="Q10" i="30" s="1"/>
  <c r="AG10" i="30" s="1"/>
  <c r="H11" i="30"/>
  <c r="Q11" i="30" s="1"/>
  <c r="AG11" i="30" s="1"/>
  <c r="H12" i="30"/>
  <c r="Q12" i="30" s="1"/>
  <c r="AG12" i="30" s="1"/>
  <c r="H13" i="30"/>
  <c r="Q13" i="30" s="1"/>
  <c r="AG13" i="30" s="1"/>
  <c r="H14" i="30"/>
  <c r="R14" i="30" s="1"/>
  <c r="AH14" i="30" s="1"/>
  <c r="H15" i="30"/>
  <c r="Q15" i="30" s="1"/>
  <c r="AG15" i="30" s="1"/>
  <c r="H16" i="30"/>
  <c r="H17" i="30"/>
  <c r="Q17" i="30" s="1"/>
  <c r="AG17" i="30" s="1"/>
  <c r="H18" i="30"/>
  <c r="Q18" i="30" s="1"/>
  <c r="H22" i="30"/>
  <c r="Q22" i="30" s="1"/>
  <c r="H23" i="30"/>
  <c r="Q23" i="30" s="1"/>
  <c r="AG23" i="30" s="1"/>
  <c r="H24" i="30"/>
  <c r="H25" i="30"/>
  <c r="Q25" i="30" s="1"/>
  <c r="AG25" i="30" s="1"/>
  <c r="H26" i="30"/>
  <c r="Q26" i="30" s="1"/>
  <c r="H33" i="30"/>
  <c r="Q33" i="30" s="1"/>
  <c r="AG33" i="30" s="1"/>
  <c r="H34" i="30"/>
  <c r="H35" i="30"/>
  <c r="Q35" i="30" s="1"/>
  <c r="AG35" i="30" s="1"/>
  <c r="H36" i="30"/>
  <c r="H37" i="30"/>
  <c r="Q37" i="30" s="1"/>
  <c r="AG37" i="30" s="1"/>
  <c r="H42" i="30"/>
  <c r="Q42" i="30" s="1"/>
  <c r="AG42" i="30" s="1"/>
  <c r="H43" i="30"/>
  <c r="Q43" i="30" s="1"/>
  <c r="H44" i="30"/>
  <c r="H45" i="30"/>
  <c r="Q45" i="30" s="1"/>
  <c r="AG45" i="30" s="1"/>
  <c r="H63" i="30"/>
  <c r="Q63" i="30" s="1"/>
  <c r="AG63" i="30" s="1"/>
  <c r="H67" i="30"/>
  <c r="R67" i="30" s="1"/>
  <c r="AH67" i="30" s="1"/>
  <c r="H69" i="30"/>
  <c r="Q69" i="30" s="1"/>
  <c r="AG69" i="30" s="1"/>
  <c r="H71" i="30"/>
  <c r="R71" i="30" s="1"/>
  <c r="AH71" i="30" s="1"/>
  <c r="H73" i="30"/>
  <c r="R73" i="30" s="1"/>
  <c r="H75" i="30"/>
  <c r="R75" i="30" s="1"/>
  <c r="AH75" i="30" s="1"/>
  <c r="H77" i="30"/>
  <c r="Q77" i="30" s="1"/>
  <c r="AG77" i="30" s="1"/>
  <c r="H83" i="30"/>
  <c r="Q83" i="30" s="1"/>
  <c r="AG83" i="30" s="1"/>
  <c r="H85" i="30"/>
  <c r="Q85" i="30" s="1"/>
  <c r="AG85" i="30" s="1"/>
  <c r="H87" i="30"/>
  <c r="Q87" i="30" s="1"/>
  <c r="AG87" i="30" s="1"/>
  <c r="H89" i="30"/>
  <c r="H94" i="30"/>
  <c r="H96" i="30"/>
  <c r="Q96" i="30" s="1"/>
  <c r="H98" i="30"/>
  <c r="Q98" i="30" s="1"/>
  <c r="AG98" i="30" s="1"/>
  <c r="H100" i="30"/>
  <c r="Q100" i="30" s="1"/>
  <c r="AG100" i="30" s="1"/>
  <c r="H102" i="30"/>
  <c r="Q102" i="30" s="1"/>
  <c r="AG102" i="30" s="1"/>
  <c r="H104" i="30"/>
  <c r="H110" i="30"/>
  <c r="H112" i="30"/>
  <c r="R112" i="30" s="1"/>
  <c r="AH112" i="30" s="1"/>
  <c r="H120" i="30"/>
  <c r="Q120" i="30" s="1"/>
  <c r="AG120" i="30" s="1"/>
  <c r="H121" i="30"/>
  <c r="Q121" i="30" s="1"/>
  <c r="AG121" i="30" s="1"/>
  <c r="H122" i="30"/>
  <c r="H123" i="30"/>
  <c r="H124" i="30"/>
  <c r="H125" i="30"/>
  <c r="R125" i="30" s="1"/>
  <c r="AH125" i="30" s="1"/>
  <c r="H126" i="30"/>
  <c r="Q126" i="30" s="1"/>
  <c r="AG126" i="30" s="1"/>
  <c r="H127" i="30"/>
  <c r="Q127" i="30" s="1"/>
  <c r="H131" i="30"/>
  <c r="H132" i="30"/>
  <c r="Q132" i="30" s="1"/>
  <c r="AG132" i="30" s="1"/>
  <c r="H133" i="30"/>
  <c r="Q133" i="30" s="1"/>
  <c r="AG133" i="30" s="1"/>
  <c r="H134" i="30"/>
  <c r="H135" i="30"/>
  <c r="R135" i="30" s="1"/>
  <c r="AH135" i="30" s="1"/>
  <c r="H141" i="30"/>
  <c r="H143" i="30"/>
  <c r="H147" i="30"/>
  <c r="H149" i="30"/>
  <c r="H151" i="30"/>
  <c r="H152" i="30"/>
  <c r="Q152" i="30" s="1"/>
  <c r="AG152" i="30" s="1"/>
  <c r="H153" i="30"/>
  <c r="H154" i="30"/>
  <c r="H155" i="30"/>
  <c r="H159" i="30"/>
  <c r="H171" i="30"/>
  <c r="H172" i="30"/>
  <c r="H173" i="30"/>
  <c r="H179" i="30"/>
  <c r="Q179" i="30" s="1"/>
  <c r="AG179" i="30" s="1"/>
  <c r="H180" i="30"/>
  <c r="Q180" i="30" s="1"/>
  <c r="AG180" i="30" s="1"/>
  <c r="H181" i="30"/>
  <c r="Q181" i="30" s="1"/>
  <c r="AG181" i="30" s="1"/>
  <c r="H182" i="30"/>
  <c r="R182" i="30" s="1"/>
  <c r="H183" i="30"/>
  <c r="H187" i="30"/>
  <c r="H188" i="30"/>
  <c r="H189" i="30"/>
  <c r="H190" i="30"/>
  <c r="H194" i="30"/>
  <c r="H195" i="30"/>
  <c r="H196" i="30"/>
  <c r="H197" i="30"/>
  <c r="Y39" i="26"/>
  <c r="Y41" i="26"/>
  <c r="Y43" i="26"/>
  <c r="Y45" i="26"/>
  <c r="Y47" i="26"/>
  <c r="Y49" i="26"/>
  <c r="Y51" i="26"/>
  <c r="Y53" i="26"/>
  <c r="Y55" i="26"/>
  <c r="Y57" i="26"/>
  <c r="Y59" i="26"/>
  <c r="Y64" i="26"/>
  <c r="Y66" i="26"/>
  <c r="Y68" i="26"/>
  <c r="Y70" i="26"/>
  <c r="Y72" i="26"/>
  <c r="Y74" i="26"/>
  <c r="Y76" i="26"/>
  <c r="Y78" i="26"/>
  <c r="Y80" i="26"/>
  <c r="Y63" i="26"/>
  <c r="Y81" i="26"/>
  <c r="AA39" i="26"/>
  <c r="AA41" i="26"/>
  <c r="AA43" i="26"/>
  <c r="AA45" i="26"/>
  <c r="AA47" i="26"/>
  <c r="AA49" i="26"/>
  <c r="AA51" i="26"/>
  <c r="AA53" i="26"/>
  <c r="AA55" i="26"/>
  <c r="AA57" i="26"/>
  <c r="AA59" i="26"/>
  <c r="AA64" i="26"/>
  <c r="AA66" i="26"/>
  <c r="AA68" i="26"/>
  <c r="AA70" i="26"/>
  <c r="AA72" i="26"/>
  <c r="AA74" i="26"/>
  <c r="AA76" i="26"/>
  <c r="AA78" i="26"/>
  <c r="AA80" i="26"/>
  <c r="AA63" i="26"/>
  <c r="T18" i="30"/>
  <c r="AJ18" i="30" s="1"/>
  <c r="T22" i="30"/>
  <c r="AJ22" i="30" s="1"/>
  <c r="T67" i="30"/>
  <c r="AJ67" i="30" s="1"/>
  <c r="T69" i="30"/>
  <c r="AJ69" i="30" s="1"/>
  <c r="T71" i="30"/>
  <c r="AJ71" i="30" s="1"/>
  <c r="AB39" i="26"/>
  <c r="AB41" i="26"/>
  <c r="AB43" i="26"/>
  <c r="AB45" i="26"/>
  <c r="AB47" i="26"/>
  <c r="AB49" i="26"/>
  <c r="AB51" i="26"/>
  <c r="AB53" i="26"/>
  <c r="AB55" i="26"/>
  <c r="AB57" i="26"/>
  <c r="AB59" i="26"/>
  <c r="AB64" i="26"/>
  <c r="AB66" i="26"/>
  <c r="AB68" i="26"/>
  <c r="AB70" i="26"/>
  <c r="AB72" i="26"/>
  <c r="AB74" i="26"/>
  <c r="AB76" i="26"/>
  <c r="AB78" i="26"/>
  <c r="AB80" i="26"/>
  <c r="J53" i="30"/>
  <c r="J55" i="30"/>
  <c r="U55" i="30" s="1"/>
  <c r="AK55" i="30" s="1"/>
  <c r="J56" i="30"/>
  <c r="U56" i="30" s="1"/>
  <c r="AK56" i="30" s="1"/>
  <c r="AB63" i="26"/>
  <c r="J10" i="30"/>
  <c r="U10" i="30" s="1"/>
  <c r="AK10" i="30" s="1"/>
  <c r="J11" i="30"/>
  <c r="J12" i="30"/>
  <c r="J13" i="30"/>
  <c r="U13" i="30" s="1"/>
  <c r="AK13" i="30" s="1"/>
  <c r="J14" i="30"/>
  <c r="U14" i="30" s="1"/>
  <c r="AK14" i="30" s="1"/>
  <c r="J15" i="30"/>
  <c r="J16" i="30"/>
  <c r="U16" i="30" s="1"/>
  <c r="AK16" i="30" s="1"/>
  <c r="J17" i="30"/>
  <c r="U17" i="30" s="1"/>
  <c r="AK17" i="30" s="1"/>
  <c r="J18" i="30"/>
  <c r="U18" i="30" s="1"/>
  <c r="AK18" i="30" s="1"/>
  <c r="J22" i="30"/>
  <c r="U22" i="30" s="1"/>
  <c r="J23" i="30"/>
  <c r="V23" i="30" s="1"/>
  <c r="AL23" i="30" s="1"/>
  <c r="J24" i="30"/>
  <c r="U24" i="30" s="1"/>
  <c r="AK24" i="30" s="1"/>
  <c r="J25" i="30"/>
  <c r="U25" i="30" s="1"/>
  <c r="AK25" i="30" s="1"/>
  <c r="J26" i="30"/>
  <c r="U26" i="30" s="1"/>
  <c r="AK26" i="30" s="1"/>
  <c r="J33" i="30"/>
  <c r="J34" i="30"/>
  <c r="J35" i="30"/>
  <c r="U35" i="30" s="1"/>
  <c r="AK35" i="30" s="1"/>
  <c r="J36" i="30"/>
  <c r="U36" i="30" s="1"/>
  <c r="AK36" i="30" s="1"/>
  <c r="J37" i="30"/>
  <c r="U37" i="30" s="1"/>
  <c r="AK37" i="30" s="1"/>
  <c r="J42" i="30"/>
  <c r="J43" i="30"/>
  <c r="J44" i="30"/>
  <c r="V44" i="30" s="1"/>
  <c r="AL44" i="30" s="1"/>
  <c r="J45" i="30"/>
  <c r="J63" i="30"/>
  <c r="V63" i="30" s="1"/>
  <c r="AL63" i="30" s="1"/>
  <c r="J67" i="30"/>
  <c r="U67" i="30" s="1"/>
  <c r="AK67" i="30" s="1"/>
  <c r="J69" i="30"/>
  <c r="U69" i="30" s="1"/>
  <c r="J71" i="30"/>
  <c r="U71" i="30" s="1"/>
  <c r="AK71" i="30" s="1"/>
  <c r="J73" i="30"/>
  <c r="J75" i="30"/>
  <c r="U75" i="30" s="1"/>
  <c r="AK75" i="30" s="1"/>
  <c r="J77" i="30"/>
  <c r="U77" i="30" s="1"/>
  <c r="AK77" i="30" s="1"/>
  <c r="J83" i="30"/>
  <c r="U83" i="30" s="1"/>
  <c r="AK83" i="30" s="1"/>
  <c r="J85" i="30"/>
  <c r="J87" i="30"/>
  <c r="U87" i="30" s="1"/>
  <c r="AK87" i="30" s="1"/>
  <c r="J89" i="30"/>
  <c r="V89" i="30" s="1"/>
  <c r="AL89" i="30" s="1"/>
  <c r="J94" i="30"/>
  <c r="J96" i="30"/>
  <c r="U96" i="30" s="1"/>
  <c r="AK96" i="30" s="1"/>
  <c r="J98" i="30"/>
  <c r="J100" i="30"/>
  <c r="U100" i="30" s="1"/>
  <c r="AK100" i="30" s="1"/>
  <c r="J102" i="30"/>
  <c r="U102" i="30" s="1"/>
  <c r="AK102" i="30" s="1"/>
  <c r="J104" i="30"/>
  <c r="J110" i="30"/>
  <c r="J112" i="30"/>
  <c r="J120" i="30"/>
  <c r="U120" i="30" s="1"/>
  <c r="AK120" i="30" s="1"/>
  <c r="J121" i="30"/>
  <c r="U121" i="30" s="1"/>
  <c r="AK121" i="30" s="1"/>
  <c r="J122" i="30"/>
  <c r="U122" i="30" s="1"/>
  <c r="AK122" i="30" s="1"/>
  <c r="J123" i="30"/>
  <c r="U123" i="30" s="1"/>
  <c r="AK123" i="30" s="1"/>
  <c r="J124" i="30"/>
  <c r="U124" i="30" s="1"/>
  <c r="J125" i="30"/>
  <c r="U125" i="30" s="1"/>
  <c r="AK125" i="30" s="1"/>
  <c r="J126" i="30"/>
  <c r="U126" i="30" s="1"/>
  <c r="AK126" i="30" s="1"/>
  <c r="J127" i="30"/>
  <c r="U127" i="30" s="1"/>
  <c r="AK127" i="30" s="1"/>
  <c r="J131" i="30"/>
  <c r="U131" i="30" s="1"/>
  <c r="AK131" i="30" s="1"/>
  <c r="J132" i="30"/>
  <c r="J133" i="30"/>
  <c r="J134" i="30"/>
  <c r="J135" i="30"/>
  <c r="J141" i="30"/>
  <c r="J143" i="30"/>
  <c r="J147" i="30"/>
  <c r="J149" i="30"/>
  <c r="J151" i="30"/>
  <c r="J152" i="30"/>
  <c r="J153" i="30"/>
  <c r="J154" i="30"/>
  <c r="J155" i="30"/>
  <c r="J159" i="30"/>
  <c r="J171" i="30"/>
  <c r="J172" i="30"/>
  <c r="J173" i="30"/>
  <c r="J179" i="30"/>
  <c r="U179" i="30" s="1"/>
  <c r="AK179" i="30" s="1"/>
  <c r="J180" i="30"/>
  <c r="J181" i="30"/>
  <c r="U181" i="30" s="1"/>
  <c r="AK181" i="30" s="1"/>
  <c r="J182" i="30"/>
  <c r="U182" i="30" s="1"/>
  <c r="AK182" i="30" s="1"/>
  <c r="J183" i="30"/>
  <c r="J187" i="30"/>
  <c r="J188" i="30"/>
  <c r="J189" i="30"/>
  <c r="J190" i="30"/>
  <c r="J194" i="30"/>
  <c r="J195" i="30"/>
  <c r="J196" i="30"/>
  <c r="J197" i="30"/>
  <c r="AC39" i="26"/>
  <c r="AC41" i="26"/>
  <c r="AC43" i="26"/>
  <c r="AC45" i="26"/>
  <c r="AC47" i="26"/>
  <c r="AC49" i="26"/>
  <c r="AC51" i="26"/>
  <c r="AC53" i="26"/>
  <c r="AC55" i="26"/>
  <c r="AC57" i="26"/>
  <c r="AC59" i="26"/>
  <c r="AC64" i="26"/>
  <c r="AC66" i="26"/>
  <c r="AC68" i="26"/>
  <c r="AC70" i="26"/>
  <c r="AC72" i="26"/>
  <c r="AC74" i="26"/>
  <c r="AC76" i="26"/>
  <c r="AC78" i="26"/>
  <c r="AC80" i="26"/>
  <c r="AC63" i="26"/>
  <c r="F10" i="10"/>
  <c r="E49" i="26"/>
  <c r="E48" i="26"/>
  <c r="E51" i="26"/>
  <c r="E50" i="26" s="1"/>
  <c r="E68" i="26"/>
  <c r="E67" i="26" s="1"/>
  <c r="E137" i="26" s="1"/>
  <c r="E74" i="26"/>
  <c r="E73" i="26"/>
  <c r="E80" i="26"/>
  <c r="E79" i="26"/>
  <c r="K238" i="30"/>
  <c r="E238" i="30"/>
  <c r="K235" i="30"/>
  <c r="E235" i="30" s="1"/>
  <c r="E166" i="30"/>
  <c r="E165" i="30"/>
  <c r="E146" i="30"/>
  <c r="E23" i="24"/>
  <c r="D23" i="24"/>
  <c r="C23" i="24" s="1"/>
  <c r="E22" i="24"/>
  <c r="D22" i="24"/>
  <c r="E21" i="24"/>
  <c r="D21" i="24"/>
  <c r="E20" i="24"/>
  <c r="D20" i="24"/>
  <c r="C20" i="24" s="1"/>
  <c r="E19" i="24"/>
  <c r="D19" i="24"/>
  <c r="C19" i="24"/>
  <c r="E18" i="24"/>
  <c r="D18" i="24"/>
  <c r="C18" i="24" s="1"/>
  <c r="E17" i="24"/>
  <c r="D17" i="24"/>
  <c r="C17" i="24"/>
  <c r="E16" i="24"/>
  <c r="D16" i="24"/>
  <c r="C16" i="24"/>
  <c r="E15" i="24"/>
  <c r="D15" i="24"/>
  <c r="C15" i="24" s="1"/>
  <c r="E14" i="24"/>
  <c r="D14" i="24"/>
  <c r="C14" i="24"/>
  <c r="E13" i="24"/>
  <c r="D13" i="24"/>
  <c r="C13" i="24"/>
  <c r="E12" i="24"/>
  <c r="D12" i="24"/>
  <c r="C12" i="24" s="1"/>
  <c r="E11" i="24"/>
  <c r="D11" i="24"/>
  <c r="C11" i="24"/>
  <c r="E10" i="24"/>
  <c r="D10" i="24"/>
  <c r="C10" i="24"/>
  <c r="E9" i="24"/>
  <c r="D9" i="24"/>
  <c r="C9" i="24" s="1"/>
  <c r="E8" i="24"/>
  <c r="D8" i="24"/>
  <c r="C8" i="24" s="1"/>
  <c r="C7" i="24"/>
  <c r="P50" i="32"/>
  <c r="P54" i="32" s="1"/>
  <c r="N12" i="12" s="1"/>
  <c r="O50" i="32"/>
  <c r="N50" i="32"/>
  <c r="M50" i="32"/>
  <c r="M54" i="32" s="1"/>
  <c r="L50" i="32"/>
  <c r="L54" i="32" s="1"/>
  <c r="J12" i="12" s="1"/>
  <c r="K50" i="32"/>
  <c r="J50" i="32"/>
  <c r="I50" i="32"/>
  <c r="H50" i="32"/>
  <c r="R50" i="32" s="1"/>
  <c r="G50" i="32"/>
  <c r="F50" i="32"/>
  <c r="F54" i="32" s="1"/>
  <c r="Q50" i="32"/>
  <c r="Q54" i="32" s="1"/>
  <c r="O12" i="12" s="1"/>
  <c r="E256" i="30"/>
  <c r="E45" i="26"/>
  <c r="A8" i="34"/>
  <c r="A9" i="34"/>
  <c r="A10" i="34" s="1"/>
  <c r="A11" i="34"/>
  <c r="A12" i="34" s="1"/>
  <c r="A13" i="34" s="1"/>
  <c r="A14" i="34" s="1"/>
  <c r="A15" i="34" s="1"/>
  <c r="A16" i="34" s="1"/>
  <c r="R52" i="32"/>
  <c r="R51" i="32"/>
  <c r="R53" i="32"/>
  <c r="F59" i="32"/>
  <c r="F61" i="32" s="1"/>
  <c r="Q27" i="32"/>
  <c r="Q29" i="32" s="1"/>
  <c r="O10" i="12" s="1"/>
  <c r="P27" i="32"/>
  <c r="P29" i="32" s="1"/>
  <c r="N10" i="12" s="1"/>
  <c r="O27" i="32"/>
  <c r="N27" i="32"/>
  <c r="M27" i="32"/>
  <c r="L27" i="32"/>
  <c r="K27" i="32"/>
  <c r="J27" i="32"/>
  <c r="I27" i="32"/>
  <c r="H27" i="32"/>
  <c r="G27" i="32"/>
  <c r="F27" i="32"/>
  <c r="F29" i="32" s="1"/>
  <c r="R49" i="32"/>
  <c r="R26" i="32"/>
  <c r="Q12" i="32"/>
  <c r="P12" i="32"/>
  <c r="P14" i="32" s="1"/>
  <c r="N8" i="12" s="1"/>
  <c r="O12" i="32"/>
  <c r="N12" i="32"/>
  <c r="M12" i="32"/>
  <c r="M14" i="32" s="1"/>
  <c r="L12" i="32"/>
  <c r="L14" i="32" s="1"/>
  <c r="J8" i="12" s="1"/>
  <c r="K12" i="32"/>
  <c r="K14" i="32" s="1"/>
  <c r="I8" i="12" s="1"/>
  <c r="J12" i="32"/>
  <c r="I12" i="32"/>
  <c r="H12" i="32"/>
  <c r="H14" i="32" s="1"/>
  <c r="F8" i="12" s="1"/>
  <c r="G12" i="32"/>
  <c r="F12" i="32"/>
  <c r="F14" i="32" s="1"/>
  <c r="R11" i="32"/>
  <c r="R60" i="32"/>
  <c r="Q59" i="32"/>
  <c r="Q61" i="32"/>
  <c r="O14" i="12"/>
  <c r="P59" i="32"/>
  <c r="P61" i="32"/>
  <c r="N14" i="12" s="1"/>
  <c r="O59" i="32"/>
  <c r="O61" i="32" s="1"/>
  <c r="M14" i="12" s="1"/>
  <c r="N59" i="32"/>
  <c r="N61" i="32"/>
  <c r="L14" i="12" s="1"/>
  <c r="M59" i="32"/>
  <c r="M61" i="32" s="1"/>
  <c r="K14" i="12"/>
  <c r="L59" i="32"/>
  <c r="L61" i="32" s="1"/>
  <c r="J14" i="12" s="1"/>
  <c r="K59" i="32"/>
  <c r="K61" i="32" s="1"/>
  <c r="I14" i="12"/>
  <c r="J59" i="32"/>
  <c r="J61" i="32"/>
  <c r="H14" i="12"/>
  <c r="I59" i="32"/>
  <c r="I61" i="32"/>
  <c r="G14" i="12"/>
  <c r="H59" i="32"/>
  <c r="H61" i="32"/>
  <c r="F14" i="12" s="1"/>
  <c r="G59" i="32"/>
  <c r="G61" i="32" s="1"/>
  <c r="E14" i="12" s="1"/>
  <c r="R58" i="32"/>
  <c r="R57" i="32"/>
  <c r="O54" i="32"/>
  <c r="M12" i="12" s="1"/>
  <c r="N54" i="32"/>
  <c r="L12" i="12" s="1"/>
  <c r="K54" i="32"/>
  <c r="I12" i="12" s="1"/>
  <c r="J54" i="32"/>
  <c r="H12" i="12" s="1"/>
  <c r="I54" i="32"/>
  <c r="G12" i="12" s="1"/>
  <c r="H54" i="32"/>
  <c r="F12" i="12" s="1"/>
  <c r="G54" i="32"/>
  <c r="E12" i="12" s="1"/>
  <c r="D12" i="12"/>
  <c r="R48" i="32"/>
  <c r="R47" i="32"/>
  <c r="R46" i="32"/>
  <c r="R45" i="32"/>
  <c r="R44" i="32"/>
  <c r="R43" i="32"/>
  <c r="R42" i="32"/>
  <c r="R41" i="32"/>
  <c r="R40" i="32"/>
  <c r="R39" i="32"/>
  <c r="R38" i="32"/>
  <c r="R37" i="32"/>
  <c r="R36" i="32"/>
  <c r="R35" i="32"/>
  <c r="R34" i="32"/>
  <c r="R33" i="32"/>
  <c r="Q28" i="32"/>
  <c r="P28" i="32"/>
  <c r="O28" i="32"/>
  <c r="N28" i="32"/>
  <c r="M28" i="32"/>
  <c r="M29" i="32" s="1"/>
  <c r="K10" i="12" s="1"/>
  <c r="L28" i="32"/>
  <c r="K28" i="32"/>
  <c r="J28" i="32"/>
  <c r="I28" i="32"/>
  <c r="H28" i="32"/>
  <c r="H29" i="32"/>
  <c r="F10" i="12" s="1"/>
  <c r="G28" i="32"/>
  <c r="F28" i="32"/>
  <c r="R25" i="32"/>
  <c r="R24" i="32"/>
  <c r="R23" i="32"/>
  <c r="R22" i="32"/>
  <c r="R21" i="32"/>
  <c r="R20" i="32"/>
  <c r="R19" i="32"/>
  <c r="R13" i="32"/>
  <c r="Q14" i="32"/>
  <c r="O8" i="12" s="1"/>
  <c r="O14" i="32"/>
  <c r="N14" i="32"/>
  <c r="J14" i="32"/>
  <c r="H8" i="12" s="1"/>
  <c r="I14" i="32"/>
  <c r="G14" i="32"/>
  <c r="R10" i="32"/>
  <c r="R9" i="32"/>
  <c r="A9" i="32"/>
  <c r="A10" i="32"/>
  <c r="A11" i="32" s="1"/>
  <c r="A12" i="32"/>
  <c r="A13" i="32"/>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K12" i="12"/>
  <c r="D8" i="12"/>
  <c r="L29" i="32"/>
  <c r="N29" i="32"/>
  <c r="L10" i="12" s="1"/>
  <c r="J29" i="32"/>
  <c r="H10" i="12" s="1"/>
  <c r="AR243" i="30"/>
  <c r="AR242" i="30"/>
  <c r="N96" i="26"/>
  <c r="AC96" i="26" s="1"/>
  <c r="M96" i="26"/>
  <c r="AB96" i="26" s="1"/>
  <c r="L96" i="26"/>
  <c r="AA96" i="26" s="1"/>
  <c r="K96" i="26"/>
  <c r="Z96" i="26" s="1"/>
  <c r="J96" i="26"/>
  <c r="Y96" i="26" s="1"/>
  <c r="I96" i="26"/>
  <c r="X96" i="26" s="1"/>
  <c r="H96" i="26"/>
  <c r="W96" i="26" s="1"/>
  <c r="G96" i="26"/>
  <c r="V96" i="26" s="1"/>
  <c r="N95" i="26"/>
  <c r="AC95" i="26" s="1"/>
  <c r="M95" i="26"/>
  <c r="AB95" i="26" s="1"/>
  <c r="L95" i="26"/>
  <c r="AA95" i="26" s="1"/>
  <c r="K95" i="26"/>
  <c r="Z95" i="26" s="1"/>
  <c r="J95" i="26"/>
  <c r="Y95" i="26" s="1"/>
  <c r="I95" i="26"/>
  <c r="X95" i="26" s="1"/>
  <c r="H95" i="26"/>
  <c r="W95" i="26" s="1"/>
  <c r="G95" i="26"/>
  <c r="V95" i="26" s="1"/>
  <c r="N94" i="26"/>
  <c r="AC94" i="26" s="1"/>
  <c r="M94" i="26"/>
  <c r="AB94" i="26" s="1"/>
  <c r="L94" i="26"/>
  <c r="K94" i="26"/>
  <c r="Z94" i="26" s="1"/>
  <c r="J94" i="26"/>
  <c r="Y94" i="26" s="1"/>
  <c r="I94" i="26"/>
  <c r="X94" i="26" s="1"/>
  <c r="H94" i="26"/>
  <c r="W94" i="26" s="1"/>
  <c r="G94" i="26"/>
  <c r="V94" i="26" s="1"/>
  <c r="N93" i="26"/>
  <c r="AC93" i="26" s="1"/>
  <c r="M93" i="26"/>
  <c r="AB93" i="26" s="1"/>
  <c r="L93" i="26"/>
  <c r="K93" i="26"/>
  <c r="Z93" i="26" s="1"/>
  <c r="J93" i="26"/>
  <c r="Y93" i="26" s="1"/>
  <c r="I93" i="26"/>
  <c r="X93" i="26" s="1"/>
  <c r="H93" i="26"/>
  <c r="W93" i="26" s="1"/>
  <c r="G93" i="26"/>
  <c r="V93" i="26" s="1"/>
  <c r="N92" i="26"/>
  <c r="AC92" i="26" s="1"/>
  <c r="M92" i="26"/>
  <c r="AB92" i="26" s="1"/>
  <c r="L92" i="26"/>
  <c r="K92" i="26"/>
  <c r="Z92" i="26" s="1"/>
  <c r="J92" i="26"/>
  <c r="Y92" i="26" s="1"/>
  <c r="I92" i="26"/>
  <c r="X92" i="26" s="1"/>
  <c r="H92" i="26"/>
  <c r="W92" i="26" s="1"/>
  <c r="G92" i="26"/>
  <c r="V92" i="26" s="1"/>
  <c r="N91" i="26"/>
  <c r="AC91" i="26" s="1"/>
  <c r="M91" i="26"/>
  <c r="AB91" i="26" s="1"/>
  <c r="L91" i="26"/>
  <c r="AA91" i="26" s="1"/>
  <c r="K91" i="26"/>
  <c r="Z91" i="26" s="1"/>
  <c r="J91" i="26"/>
  <c r="Y91" i="26" s="1"/>
  <c r="I91" i="26"/>
  <c r="X91" i="26" s="1"/>
  <c r="H91" i="26"/>
  <c r="W91" i="26" s="1"/>
  <c r="G91" i="26"/>
  <c r="V91" i="26" s="1"/>
  <c r="N90" i="26"/>
  <c r="M90" i="26"/>
  <c r="AB90" i="26" s="1"/>
  <c r="L90" i="26"/>
  <c r="AA90" i="26" s="1"/>
  <c r="K90" i="26"/>
  <c r="J90" i="26"/>
  <c r="Y90" i="26" s="1"/>
  <c r="I90" i="26"/>
  <c r="H90" i="26"/>
  <c r="W90" i="26" s="1"/>
  <c r="G90" i="26"/>
  <c r="V90" i="26" s="1"/>
  <c r="E46" i="30"/>
  <c r="M51" i="10"/>
  <c r="E271" i="30"/>
  <c r="J285" i="30"/>
  <c r="E39" i="20"/>
  <c r="E13" i="20"/>
  <c r="C39" i="20"/>
  <c r="C13" i="20"/>
  <c r="G13" i="20" s="1"/>
  <c r="G38" i="20"/>
  <c r="J280" i="30" s="1"/>
  <c r="G37" i="20"/>
  <c r="G36" i="20"/>
  <c r="G39" i="20"/>
  <c r="L31" i="24"/>
  <c r="K31" i="24"/>
  <c r="K34" i="24" s="1"/>
  <c r="I24" i="24"/>
  <c r="L20" i="24" s="1"/>
  <c r="H24" i="24"/>
  <c r="G24" i="24"/>
  <c r="F24" i="24"/>
  <c r="J23" i="24"/>
  <c r="J31" i="24"/>
  <c r="I34" i="24" s="1"/>
  <c r="H58" i="10" s="1"/>
  <c r="I31" i="24"/>
  <c r="H31" i="24"/>
  <c r="G31" i="24"/>
  <c r="H34" i="24" s="1"/>
  <c r="G58" i="10" s="1"/>
  <c r="G34" i="24"/>
  <c r="F58" i="10" s="1"/>
  <c r="K23" i="24"/>
  <c r="K17" i="24"/>
  <c r="K13" i="24"/>
  <c r="K9" i="24"/>
  <c r="K22" i="24"/>
  <c r="K20" i="24"/>
  <c r="K18" i="24"/>
  <c r="K16" i="24"/>
  <c r="K14" i="24"/>
  <c r="K12" i="24"/>
  <c r="K10" i="24"/>
  <c r="K8" i="24"/>
  <c r="K21" i="24"/>
  <c r="K19" i="24"/>
  <c r="K15" i="24"/>
  <c r="K11" i="24"/>
  <c r="K7" i="24"/>
  <c r="J58" i="10"/>
  <c r="L34" i="24"/>
  <c r="K58" i="10" s="1"/>
  <c r="R80" i="26"/>
  <c r="Q80" i="26"/>
  <c r="S80" i="26" s="1"/>
  <c r="R78" i="26"/>
  <c r="S78" i="26" s="1"/>
  <c r="Q78" i="26"/>
  <c r="R76" i="26"/>
  <c r="Q76" i="26"/>
  <c r="S76" i="26" s="1"/>
  <c r="R74" i="26"/>
  <c r="Q74" i="26"/>
  <c r="S74" i="26"/>
  <c r="R72" i="26"/>
  <c r="Q72" i="26"/>
  <c r="S72" i="26" s="1"/>
  <c r="R70" i="26"/>
  <c r="Q70" i="26"/>
  <c r="S70" i="26"/>
  <c r="R68" i="26"/>
  <c r="Q68" i="26"/>
  <c r="S68" i="26" s="1"/>
  <c r="R66" i="26"/>
  <c r="Q66" i="26"/>
  <c r="S66" i="26"/>
  <c r="R64" i="26"/>
  <c r="Q64" i="26"/>
  <c r="S64" i="26" s="1"/>
  <c r="R63" i="26"/>
  <c r="S63" i="26" s="1"/>
  <c r="Q63" i="26"/>
  <c r="R59" i="26"/>
  <c r="Q59" i="26"/>
  <c r="R57" i="26"/>
  <c r="S57" i="26" s="1"/>
  <c r="Q57" i="26"/>
  <c r="R55" i="26"/>
  <c r="S55" i="26" s="1"/>
  <c r="Q55" i="26"/>
  <c r="R53" i="26"/>
  <c r="Q53" i="26"/>
  <c r="S53" i="26"/>
  <c r="R51" i="26"/>
  <c r="Q51" i="26"/>
  <c r="S51" i="26" s="1"/>
  <c r="R49" i="26"/>
  <c r="Q49" i="26"/>
  <c r="R45" i="26"/>
  <c r="Q45" i="26"/>
  <c r="S45" i="26" s="1"/>
  <c r="R43" i="26"/>
  <c r="Q43" i="26"/>
  <c r="S43" i="26" s="1"/>
  <c r="R41" i="26"/>
  <c r="Q41" i="26"/>
  <c r="S41" i="26" s="1"/>
  <c r="R39" i="26"/>
  <c r="Q39" i="26"/>
  <c r="S39" i="26" s="1"/>
  <c r="S49" i="26"/>
  <c r="S59" i="26"/>
  <c r="C62" i="10"/>
  <c r="J231" i="30"/>
  <c r="H231" i="30"/>
  <c r="R231" i="30" s="1"/>
  <c r="G231" i="30"/>
  <c r="O231" i="30" s="1"/>
  <c r="E64" i="26"/>
  <c r="E78" i="26"/>
  <c r="E76" i="26"/>
  <c r="E72" i="26"/>
  <c r="E71" i="26" s="1"/>
  <c r="E70" i="26"/>
  <c r="E66" i="26"/>
  <c r="E59" i="26"/>
  <c r="E57" i="26"/>
  <c r="E55" i="26"/>
  <c r="E53" i="26"/>
  <c r="E43" i="26"/>
  <c r="E41" i="26"/>
  <c r="E39" i="26"/>
  <c r="E133" i="26"/>
  <c r="E63" i="26"/>
  <c r="F13" i="10"/>
  <c r="F12" i="10"/>
  <c r="F11" i="10"/>
  <c r="F9" i="10"/>
  <c r="I285" i="30"/>
  <c r="H285" i="30"/>
  <c r="G285" i="30"/>
  <c r="J258" i="30"/>
  <c r="V258" i="30" s="1"/>
  <c r="AL258" i="30" s="1"/>
  <c r="H258" i="30"/>
  <c r="Q258" i="30" s="1"/>
  <c r="AG258" i="30" s="1"/>
  <c r="G258" i="30"/>
  <c r="E247" i="30"/>
  <c r="L247" i="30" s="1"/>
  <c r="J239" i="30"/>
  <c r="U239" i="30" s="1"/>
  <c r="H239" i="30"/>
  <c r="Q239" i="30" s="1"/>
  <c r="G239" i="30"/>
  <c r="P239" i="30" s="1"/>
  <c r="J233" i="30"/>
  <c r="U233" i="30" s="1"/>
  <c r="H233" i="30"/>
  <c r="Q233" i="30" s="1"/>
  <c r="G233" i="30"/>
  <c r="J232" i="30"/>
  <c r="V232" i="30" s="1"/>
  <c r="H232" i="30"/>
  <c r="G232" i="30"/>
  <c r="O232" i="30" s="1"/>
  <c r="E206" i="30"/>
  <c r="E205" i="30" s="1"/>
  <c r="I205" i="30" s="1"/>
  <c r="T205" i="30" s="1"/>
  <c r="E164" i="30"/>
  <c r="E163" i="30" s="1"/>
  <c r="F169" i="30"/>
  <c r="F167" i="30"/>
  <c r="F165" i="30"/>
  <c r="F163" i="30"/>
  <c r="F161" i="30"/>
  <c r="J218" i="30"/>
  <c r="V218" i="30" s="1"/>
  <c r="V219" i="30" s="1"/>
  <c r="I218" i="30"/>
  <c r="S218" i="30" s="1"/>
  <c r="S219" i="30" s="1"/>
  <c r="H218" i="30"/>
  <c r="H219" i="30" s="1"/>
  <c r="G218" i="30"/>
  <c r="P218" i="30" s="1"/>
  <c r="P219" i="30" s="1"/>
  <c r="E170" i="30"/>
  <c r="L170" i="30" s="1"/>
  <c r="E168" i="30"/>
  <c r="L168" i="30"/>
  <c r="E162" i="30"/>
  <c r="L162" i="30"/>
  <c r="E160" i="30"/>
  <c r="L160" i="30"/>
  <c r="E150" i="30"/>
  <c r="L150" i="30" s="1"/>
  <c r="E148" i="30"/>
  <c r="L148" i="30"/>
  <c r="E144" i="30"/>
  <c r="L144" i="30"/>
  <c r="E142" i="30"/>
  <c r="L142" i="30" s="1"/>
  <c r="E113" i="30"/>
  <c r="L113" i="30"/>
  <c r="E111" i="30"/>
  <c r="L111" i="30"/>
  <c r="E109" i="30"/>
  <c r="E108" i="30" s="1"/>
  <c r="J108" i="30" s="1"/>
  <c r="E107" i="30"/>
  <c r="E106" i="30" s="1"/>
  <c r="E105" i="30"/>
  <c r="L105" i="30" s="1"/>
  <c r="E103" i="30"/>
  <c r="L103" i="30"/>
  <c r="E101" i="30"/>
  <c r="L101" i="30"/>
  <c r="E99" i="30"/>
  <c r="L99" i="30"/>
  <c r="E97" i="30"/>
  <c r="L97" i="30" s="1"/>
  <c r="E95" i="30"/>
  <c r="L95" i="30"/>
  <c r="J214" i="30"/>
  <c r="V214" i="30" s="1"/>
  <c r="I214" i="30"/>
  <c r="S214" i="30" s="1"/>
  <c r="H214" i="30"/>
  <c r="Q214" i="30" s="1"/>
  <c r="G214" i="30"/>
  <c r="J213" i="30"/>
  <c r="V213" i="30" s="1"/>
  <c r="I213" i="30"/>
  <c r="H213" i="30"/>
  <c r="R213" i="30" s="1"/>
  <c r="G213" i="30"/>
  <c r="P213" i="30" s="1"/>
  <c r="J212" i="30"/>
  <c r="V212" i="30" s="1"/>
  <c r="I212" i="30"/>
  <c r="S212" i="30" s="1"/>
  <c r="H212" i="30"/>
  <c r="Q212" i="30" s="1"/>
  <c r="G212" i="30"/>
  <c r="O212" i="30" s="1"/>
  <c r="J211" i="30"/>
  <c r="V211" i="30" s="1"/>
  <c r="I211" i="30"/>
  <c r="H211" i="30"/>
  <c r="R211" i="30" s="1"/>
  <c r="G211" i="30"/>
  <c r="O211" i="30" s="1"/>
  <c r="J210" i="30"/>
  <c r="V210" i="30" s="1"/>
  <c r="I210" i="30"/>
  <c r="T210" i="30" s="1"/>
  <c r="H210" i="30"/>
  <c r="Q210" i="30" s="1"/>
  <c r="G210" i="30"/>
  <c r="J209" i="30"/>
  <c r="U209" i="30" s="1"/>
  <c r="I209" i="30"/>
  <c r="T209" i="30" s="1"/>
  <c r="H209" i="30"/>
  <c r="R209" i="30" s="1"/>
  <c r="G209" i="30"/>
  <c r="O209" i="30" s="1"/>
  <c r="J208" i="30"/>
  <c r="U208" i="30" s="1"/>
  <c r="I208" i="30"/>
  <c r="T208" i="30" s="1"/>
  <c r="H208" i="30"/>
  <c r="Q208" i="30" s="1"/>
  <c r="G208" i="30"/>
  <c r="J207" i="30"/>
  <c r="U207" i="30" s="1"/>
  <c r="I207" i="30"/>
  <c r="H207" i="30"/>
  <c r="Q207" i="30" s="1"/>
  <c r="G207" i="30"/>
  <c r="J204" i="30"/>
  <c r="V204" i="30" s="1"/>
  <c r="I204" i="30"/>
  <c r="S204" i="30" s="1"/>
  <c r="H204" i="30"/>
  <c r="Q204" i="30" s="1"/>
  <c r="G204" i="30"/>
  <c r="P204" i="30" s="1"/>
  <c r="J203" i="30"/>
  <c r="U203" i="30" s="1"/>
  <c r="I203" i="30"/>
  <c r="H203" i="30"/>
  <c r="R203" i="30" s="1"/>
  <c r="G203" i="30"/>
  <c r="O203" i="30" s="1"/>
  <c r="J202" i="30"/>
  <c r="V202" i="30" s="1"/>
  <c r="I202" i="30"/>
  <c r="T202" i="30" s="1"/>
  <c r="H202" i="30"/>
  <c r="R202" i="30" s="1"/>
  <c r="G202" i="30"/>
  <c r="J201" i="30"/>
  <c r="U201" i="30" s="1"/>
  <c r="I201" i="30"/>
  <c r="H201" i="30"/>
  <c r="Q201" i="30" s="1"/>
  <c r="G201" i="30"/>
  <c r="O201" i="30" s="1"/>
  <c r="F159" i="30"/>
  <c r="L166" i="30"/>
  <c r="H240" i="30"/>
  <c r="Q240" i="30" s="1"/>
  <c r="G240" i="30"/>
  <c r="P240" i="30" s="1"/>
  <c r="J240" i="30"/>
  <c r="A10" i="30"/>
  <c r="A11" i="30"/>
  <c r="A12" i="30"/>
  <c r="A13" i="30" s="1"/>
  <c r="A14" i="30" s="1"/>
  <c r="A15" i="30" s="1"/>
  <c r="A16" i="30" s="1"/>
  <c r="A17" i="30" s="1"/>
  <c r="A18" i="30" s="1"/>
  <c r="A19" i="30"/>
  <c r="A20" i="30" s="1"/>
  <c r="A21" i="30" s="1"/>
  <c r="A22" i="30" s="1"/>
  <c r="A23" i="30" s="1"/>
  <c r="A24" i="30" s="1"/>
  <c r="A25" i="30" s="1"/>
  <c r="A26" i="30" s="1"/>
  <c r="A27" i="30" s="1"/>
  <c r="A28" i="30" s="1"/>
  <c r="A29" i="30" s="1"/>
  <c r="E219" i="30"/>
  <c r="E198" i="30"/>
  <c r="E191" i="30"/>
  <c r="E184" i="30"/>
  <c r="E17" i="28" s="1"/>
  <c r="E136" i="30"/>
  <c r="E128" i="30"/>
  <c r="E38" i="30"/>
  <c r="E27" i="30"/>
  <c r="E19" i="30"/>
  <c r="E19" i="28"/>
  <c r="E57" i="30"/>
  <c r="E13" i="28" s="1"/>
  <c r="N34" i="26"/>
  <c r="AC34" i="26" s="1"/>
  <c r="M34" i="26"/>
  <c r="AB34" i="26" s="1"/>
  <c r="L34" i="26"/>
  <c r="AA34" i="26" s="1"/>
  <c r="K34" i="26"/>
  <c r="Z34" i="26" s="1"/>
  <c r="J34" i="26"/>
  <c r="I34" i="26"/>
  <c r="X34" i="26" s="1"/>
  <c r="H34" i="26"/>
  <c r="W34" i="26" s="1"/>
  <c r="G34" i="26"/>
  <c r="V34" i="26" s="1"/>
  <c r="N33" i="26"/>
  <c r="AC33" i="26" s="1"/>
  <c r="M33" i="26"/>
  <c r="AB33" i="26" s="1"/>
  <c r="L33" i="26"/>
  <c r="AA33" i="26" s="1"/>
  <c r="K33" i="26"/>
  <c r="J33" i="26"/>
  <c r="Y33" i="26" s="1"/>
  <c r="I33" i="26"/>
  <c r="X33" i="26" s="1"/>
  <c r="H33" i="26"/>
  <c r="W33" i="26" s="1"/>
  <c r="G33" i="26"/>
  <c r="N32" i="26"/>
  <c r="AC32" i="26" s="1"/>
  <c r="M32" i="26"/>
  <c r="L32" i="26"/>
  <c r="K32" i="26"/>
  <c r="Z32" i="26" s="1"/>
  <c r="J32" i="26"/>
  <c r="Y32" i="26" s="1"/>
  <c r="I32" i="26"/>
  <c r="X32" i="26" s="1"/>
  <c r="H32" i="26"/>
  <c r="W32" i="26" s="1"/>
  <c r="G32" i="26"/>
  <c r="V32" i="26" s="1"/>
  <c r="N31" i="26"/>
  <c r="M31" i="26"/>
  <c r="L31" i="26"/>
  <c r="AA31" i="26" s="1"/>
  <c r="K31" i="26"/>
  <c r="Z31" i="26" s="1"/>
  <c r="J31" i="26"/>
  <c r="Y31" i="26" s="1"/>
  <c r="I31" i="26"/>
  <c r="X31" i="26" s="1"/>
  <c r="H31" i="26"/>
  <c r="W31" i="26" s="1"/>
  <c r="G31" i="26"/>
  <c r="V31" i="26" s="1"/>
  <c r="N30" i="26"/>
  <c r="M30" i="26"/>
  <c r="AB30" i="26" s="1"/>
  <c r="L30" i="26"/>
  <c r="AA30" i="26" s="1"/>
  <c r="K30" i="26"/>
  <c r="Z30" i="26" s="1"/>
  <c r="J30" i="26"/>
  <c r="Y30" i="26" s="1"/>
  <c r="I30" i="26"/>
  <c r="H30" i="26"/>
  <c r="W30" i="26" s="1"/>
  <c r="G30" i="26"/>
  <c r="N29" i="26"/>
  <c r="AC29" i="26" s="1"/>
  <c r="M29" i="26"/>
  <c r="AB29" i="26" s="1"/>
  <c r="L29" i="26"/>
  <c r="AA29" i="26" s="1"/>
  <c r="K29" i="26"/>
  <c r="Z29" i="26" s="1"/>
  <c r="J29" i="26"/>
  <c r="I29" i="26"/>
  <c r="X29" i="26" s="1"/>
  <c r="H29" i="26"/>
  <c r="W29" i="26" s="1"/>
  <c r="G29" i="26"/>
  <c r="V29" i="26" s="1"/>
  <c r="N28" i="26"/>
  <c r="AC28" i="26" s="1"/>
  <c r="M28" i="26"/>
  <c r="AB28" i="26" s="1"/>
  <c r="L28" i="26"/>
  <c r="AA28" i="26" s="1"/>
  <c r="K28" i="26"/>
  <c r="J28" i="26"/>
  <c r="Y28" i="26" s="1"/>
  <c r="I28" i="26"/>
  <c r="X28" i="26" s="1"/>
  <c r="H28" i="26"/>
  <c r="G28" i="26"/>
  <c r="V28" i="26" s="1"/>
  <c r="N27" i="26"/>
  <c r="AC27" i="26" s="1"/>
  <c r="M27" i="26"/>
  <c r="AB27" i="26" s="1"/>
  <c r="L27" i="26"/>
  <c r="K27" i="26"/>
  <c r="Z27" i="26" s="1"/>
  <c r="J27" i="26"/>
  <c r="Y27" i="26" s="1"/>
  <c r="I27" i="26"/>
  <c r="H27" i="26"/>
  <c r="G27" i="26"/>
  <c r="N23" i="26"/>
  <c r="AC23" i="26" s="1"/>
  <c r="M23" i="26"/>
  <c r="L23" i="26"/>
  <c r="AA23" i="26" s="1"/>
  <c r="K23" i="26"/>
  <c r="Z23" i="26" s="1"/>
  <c r="J23" i="26"/>
  <c r="I23" i="26"/>
  <c r="X23" i="26" s="1"/>
  <c r="H23" i="26"/>
  <c r="W23" i="26" s="1"/>
  <c r="G23" i="26"/>
  <c r="V23" i="26" s="1"/>
  <c r="N22" i="26"/>
  <c r="M22" i="26"/>
  <c r="AB22" i="26" s="1"/>
  <c r="L22" i="26"/>
  <c r="AA22" i="26" s="1"/>
  <c r="K22" i="26"/>
  <c r="Z22" i="26" s="1"/>
  <c r="J22" i="26"/>
  <c r="Y22" i="26" s="1"/>
  <c r="I22" i="26"/>
  <c r="X22" i="26" s="1"/>
  <c r="H22" i="26"/>
  <c r="W22" i="26" s="1"/>
  <c r="G22" i="26"/>
  <c r="V22" i="26" s="1"/>
  <c r="N21" i="26"/>
  <c r="AC21" i="26" s="1"/>
  <c r="M21" i="26"/>
  <c r="AB21" i="26" s="1"/>
  <c r="L21" i="26"/>
  <c r="K21" i="26"/>
  <c r="Z21" i="26" s="1"/>
  <c r="J21" i="26"/>
  <c r="Y21" i="26" s="1"/>
  <c r="I21" i="26"/>
  <c r="X21" i="26" s="1"/>
  <c r="H21" i="26"/>
  <c r="W21" i="26" s="1"/>
  <c r="G21" i="26"/>
  <c r="V21" i="26" s="1"/>
  <c r="N20" i="26"/>
  <c r="M20" i="26"/>
  <c r="L20" i="26"/>
  <c r="AA20" i="26" s="1"/>
  <c r="K20" i="26"/>
  <c r="Z20" i="26" s="1"/>
  <c r="J20" i="26"/>
  <c r="Y20" i="26" s="1"/>
  <c r="I20" i="26"/>
  <c r="X20" i="26" s="1"/>
  <c r="H20" i="26"/>
  <c r="W20" i="26" s="1"/>
  <c r="G20" i="26"/>
  <c r="N19" i="26"/>
  <c r="M19" i="26"/>
  <c r="AB19" i="26" s="1"/>
  <c r="L19" i="26"/>
  <c r="AA19" i="26" s="1"/>
  <c r="K19" i="26"/>
  <c r="Z19" i="26" s="1"/>
  <c r="J19" i="26"/>
  <c r="Y19" i="26" s="1"/>
  <c r="I19" i="26"/>
  <c r="H19" i="26"/>
  <c r="W19" i="26" s="1"/>
  <c r="G19" i="26"/>
  <c r="N18" i="26"/>
  <c r="AC18" i="26" s="1"/>
  <c r="M18" i="26"/>
  <c r="AB18" i="26" s="1"/>
  <c r="L18" i="26"/>
  <c r="AA18" i="26" s="1"/>
  <c r="K18" i="26"/>
  <c r="Z18" i="26" s="1"/>
  <c r="J18" i="26"/>
  <c r="I18" i="26"/>
  <c r="X18" i="26" s="1"/>
  <c r="H18" i="26"/>
  <c r="W18" i="26" s="1"/>
  <c r="G18" i="26"/>
  <c r="V18" i="26" s="1"/>
  <c r="N17" i="26"/>
  <c r="AC17" i="26" s="1"/>
  <c r="M17" i="26"/>
  <c r="AB17" i="26" s="1"/>
  <c r="L17" i="26"/>
  <c r="AA17" i="26" s="1"/>
  <c r="K17" i="26"/>
  <c r="J17" i="26"/>
  <c r="Y17" i="26" s="1"/>
  <c r="I17" i="26"/>
  <c r="X17" i="26" s="1"/>
  <c r="H17" i="26"/>
  <c r="G17" i="26"/>
  <c r="V17" i="26" s="1"/>
  <c r="N16" i="26"/>
  <c r="AC16" i="26" s="1"/>
  <c r="M16" i="26"/>
  <c r="AB16" i="26" s="1"/>
  <c r="L16" i="26"/>
  <c r="K16" i="26"/>
  <c r="Z16" i="26" s="1"/>
  <c r="J16" i="26"/>
  <c r="I16" i="26"/>
  <c r="H16" i="26"/>
  <c r="W16" i="26" s="1"/>
  <c r="G16" i="26"/>
  <c r="V16" i="26" s="1"/>
  <c r="N12" i="26"/>
  <c r="AC12" i="26" s="1"/>
  <c r="M12" i="26"/>
  <c r="AB12" i="26" s="1"/>
  <c r="L12" i="26"/>
  <c r="AA12" i="26" s="1"/>
  <c r="K12" i="26"/>
  <c r="Z12" i="26" s="1"/>
  <c r="J12" i="26"/>
  <c r="Y12" i="26" s="1"/>
  <c r="I12" i="26"/>
  <c r="X12" i="26" s="1"/>
  <c r="H12" i="26"/>
  <c r="W12" i="26" s="1"/>
  <c r="G12" i="26"/>
  <c r="V12" i="26" s="1"/>
  <c r="N11" i="26"/>
  <c r="AC11" i="26" s="1"/>
  <c r="M11" i="26"/>
  <c r="AB11" i="26" s="1"/>
  <c r="L11" i="26"/>
  <c r="AA11" i="26" s="1"/>
  <c r="K11" i="26"/>
  <c r="Z11" i="26" s="1"/>
  <c r="J11" i="26"/>
  <c r="Y11" i="26" s="1"/>
  <c r="I11" i="26"/>
  <c r="X11" i="26" s="1"/>
  <c r="H11" i="26"/>
  <c r="W11" i="26" s="1"/>
  <c r="G11" i="26"/>
  <c r="V11" i="26" s="1"/>
  <c r="N10" i="26"/>
  <c r="M10" i="26"/>
  <c r="L10" i="26"/>
  <c r="AA10" i="26" s="1"/>
  <c r="K10" i="26"/>
  <c r="Z10" i="26" s="1"/>
  <c r="J10" i="26"/>
  <c r="Y10" i="26" s="1"/>
  <c r="I10" i="26"/>
  <c r="X10" i="26" s="1"/>
  <c r="H10" i="26"/>
  <c r="W10" i="26" s="1"/>
  <c r="G10" i="26"/>
  <c r="V10" i="26" s="1"/>
  <c r="C124" i="26"/>
  <c r="E77" i="26"/>
  <c r="E75" i="26"/>
  <c r="E65" i="26"/>
  <c r="E58" i="26"/>
  <c r="E54" i="26"/>
  <c r="E52" i="26"/>
  <c r="E40" i="26"/>
  <c r="E13" i="26"/>
  <c r="M44" i="10"/>
  <c r="M43" i="10"/>
  <c r="E120" i="26"/>
  <c r="E129" i="26"/>
  <c r="E38" i="26"/>
  <c r="A12" i="28"/>
  <c r="A13" i="28"/>
  <c r="A14" i="28" s="1"/>
  <c r="A15" i="28" s="1"/>
  <c r="A16" i="28" s="1"/>
  <c r="A17" i="28" s="1"/>
  <c r="A18" i="28" s="1"/>
  <c r="A19" i="28" s="1"/>
  <c r="A20" i="28" s="1"/>
  <c r="A21" i="28" s="1"/>
  <c r="A22" i="28" s="1"/>
  <c r="A23" i="28" s="1"/>
  <c r="U82" i="26"/>
  <c r="E112" i="26"/>
  <c r="E97" i="26"/>
  <c r="E35" i="26"/>
  <c r="E24" i="26"/>
  <c r="A10" i="26"/>
  <c r="A11" i="26"/>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F31" i="24"/>
  <c r="E31" i="24"/>
  <c r="J15" i="24"/>
  <c r="J21" i="24"/>
  <c r="J20" i="24"/>
  <c r="J10" i="24"/>
  <c r="J9" i="24"/>
  <c r="J22" i="24"/>
  <c r="J19" i="24"/>
  <c r="J18" i="24"/>
  <c r="J17" i="24"/>
  <c r="J16" i="24"/>
  <c r="J8" i="24"/>
  <c r="J14" i="24"/>
  <c r="J13" i="24"/>
  <c r="J12" i="24"/>
  <c r="J11" i="24"/>
  <c r="J7" i="24"/>
  <c r="E34" i="24"/>
  <c r="D58" i="10" s="1"/>
  <c r="C31" i="24"/>
  <c r="M31" i="24" s="1"/>
  <c r="F34" i="24"/>
  <c r="E58" i="10" s="1"/>
  <c r="K24" i="24"/>
  <c r="E15" i="10"/>
  <c r="A8" i="24"/>
  <c r="A9" i="24" s="1"/>
  <c r="A10" i="24" s="1"/>
  <c r="A11" i="24" s="1"/>
  <c r="A12" i="24" s="1"/>
  <c r="A13" i="24" s="1"/>
  <c r="A14" i="24" s="1"/>
  <c r="A15" i="24" s="1"/>
  <c r="A16" i="24"/>
  <c r="A17" i="24" s="1"/>
  <c r="A18" i="24" s="1"/>
  <c r="A19" i="24" s="1"/>
  <c r="A20" i="24" s="1"/>
  <c r="A21" i="24" s="1"/>
  <c r="A22" i="24" s="1"/>
  <c r="A23" i="24" s="1"/>
  <c r="A24" i="24"/>
  <c r="A25" i="24" s="1"/>
  <c r="A26" i="24" s="1"/>
  <c r="A27" i="24" s="1"/>
  <c r="A28" i="24" s="1"/>
  <c r="A29" i="24" s="1"/>
  <c r="A30" i="24" s="1"/>
  <c r="A31" i="24" s="1"/>
  <c r="A32" i="24"/>
  <c r="A33" i="24" s="1"/>
  <c r="A34" i="24" s="1"/>
  <c r="A11" i="20"/>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E33" i="20"/>
  <c r="E12" i="20"/>
  <c r="C33" i="20"/>
  <c r="C12" i="20" s="1"/>
  <c r="G12" i="20" s="1"/>
  <c r="G32" i="20"/>
  <c r="I280" i="30" s="1"/>
  <c r="G31" i="20"/>
  <c r="G30" i="20"/>
  <c r="E27" i="20"/>
  <c r="E11" i="20" s="1"/>
  <c r="C27" i="20"/>
  <c r="C11" i="20" s="1"/>
  <c r="G26" i="20"/>
  <c r="H280" i="30" s="1"/>
  <c r="G25" i="20"/>
  <c r="G24" i="20"/>
  <c r="E45" i="20"/>
  <c r="E14" i="20" s="1"/>
  <c r="C45" i="20"/>
  <c r="C14" i="20" s="1"/>
  <c r="G44" i="20"/>
  <c r="G43" i="20"/>
  <c r="G42" i="20"/>
  <c r="E21" i="20"/>
  <c r="E10" i="20" s="1"/>
  <c r="C21" i="20"/>
  <c r="C10" i="20" s="1"/>
  <c r="G20" i="20"/>
  <c r="G280" i="30" s="1"/>
  <c r="G19" i="20"/>
  <c r="G18" i="20"/>
  <c r="A7" i="10"/>
  <c r="A8" i="10" s="1"/>
  <c r="A9" i="10" s="1"/>
  <c r="A10" i="10" s="1"/>
  <c r="A12" i="10" s="1"/>
  <c r="A13" i="10" s="1"/>
  <c r="A14" i="10" s="1"/>
  <c r="A15" i="10" s="1"/>
  <c r="A16" i="10"/>
  <c r="A17" i="10" s="1"/>
  <c r="A18" i="10" s="1"/>
  <c r="A19" i="10" s="1"/>
  <c r="A20" i="10" s="1"/>
  <c r="A21" i="10" s="1"/>
  <c r="A22" i="10" s="1"/>
  <c r="A23" i="10" s="1"/>
  <c r="A24" i="10"/>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9" i="12"/>
  <c r="A10" i="12" s="1"/>
  <c r="A11" i="12" s="1"/>
  <c r="A12" i="12" s="1"/>
  <c r="A13" i="12" s="1"/>
  <c r="A14" i="12" s="1"/>
  <c r="A15" i="12" s="1"/>
  <c r="A16" i="12" s="1"/>
  <c r="E69" i="26"/>
  <c r="E66" i="30"/>
  <c r="E65" i="30" s="1"/>
  <c r="E62" i="30"/>
  <c r="L62" i="30"/>
  <c r="E64" i="30"/>
  <c r="L64" i="30"/>
  <c r="E68" i="30"/>
  <c r="L68" i="30" s="1"/>
  <c r="E70" i="30"/>
  <c r="L70" i="30" s="1"/>
  <c r="E72" i="30"/>
  <c r="L72" i="30"/>
  <c r="E74" i="30"/>
  <c r="L74" i="30"/>
  <c r="E76" i="30"/>
  <c r="L76" i="30" s="1"/>
  <c r="E78" i="30"/>
  <c r="L78" i="30" s="1"/>
  <c r="E80" i="30"/>
  <c r="E79" i="30" s="1"/>
  <c r="E82" i="30"/>
  <c r="E81" i="30" s="1"/>
  <c r="E84" i="30"/>
  <c r="L84" i="30" s="1"/>
  <c r="E86" i="30"/>
  <c r="L86" i="30" s="1"/>
  <c r="E88" i="30"/>
  <c r="L88" i="30" s="1"/>
  <c r="E90" i="30"/>
  <c r="L90" i="30"/>
  <c r="R47" i="26"/>
  <c r="Q47" i="26"/>
  <c r="E47" i="26"/>
  <c r="E46" i="26" s="1"/>
  <c r="S47" i="26"/>
  <c r="L109" i="30" l="1"/>
  <c r="I29" i="32"/>
  <c r="G10" i="12" s="1"/>
  <c r="R27" i="32"/>
  <c r="K29" i="32"/>
  <c r="I10" i="12" s="1"/>
  <c r="G29" i="32"/>
  <c r="E10" i="12" s="1"/>
  <c r="Q63" i="32"/>
  <c r="O16" i="12" s="1"/>
  <c r="J63" i="32"/>
  <c r="H16" i="12" s="1"/>
  <c r="K63" i="32"/>
  <c r="I16" i="12" s="1"/>
  <c r="D31" i="24"/>
  <c r="D24" i="24"/>
  <c r="J24" i="24"/>
  <c r="G14" i="20"/>
  <c r="G45" i="20"/>
  <c r="G33" i="20"/>
  <c r="G11" i="20"/>
  <c r="E15" i="20"/>
  <c r="G27" i="20"/>
  <c r="G10" i="20"/>
  <c r="G21" i="20"/>
  <c r="L256" i="30"/>
  <c r="E260" i="30"/>
  <c r="J250" i="30"/>
  <c r="R12" i="30"/>
  <c r="AH12" i="30" s="1"/>
  <c r="E87" i="26"/>
  <c r="E132" i="26" s="1"/>
  <c r="E134" i="26" s="1"/>
  <c r="T233" i="30"/>
  <c r="T98" i="30"/>
  <c r="AJ98" i="30" s="1"/>
  <c r="F15" i="10"/>
  <c r="G191" i="30"/>
  <c r="T127" i="30"/>
  <c r="AJ127" i="30" s="1"/>
  <c r="T94" i="30"/>
  <c r="AJ94" i="30" s="1"/>
  <c r="L66" i="30"/>
  <c r="J205" i="30"/>
  <c r="U205" i="30" s="1"/>
  <c r="G205" i="30"/>
  <c r="P205" i="30" s="1"/>
  <c r="E215" i="30"/>
  <c r="E224" i="30" s="1"/>
  <c r="L206" i="30"/>
  <c r="H205" i="30"/>
  <c r="R205" i="30" s="1"/>
  <c r="L146" i="30"/>
  <c r="E145" i="30"/>
  <c r="E156" i="30" s="1"/>
  <c r="E138" i="30"/>
  <c r="E15" i="28" s="1"/>
  <c r="T122" i="30"/>
  <c r="AJ122" i="30" s="1"/>
  <c r="G274" i="30"/>
  <c r="T13" i="30"/>
  <c r="AJ13" i="30" s="1"/>
  <c r="T179" i="30"/>
  <c r="AJ179" i="30" s="1"/>
  <c r="T132" i="30"/>
  <c r="AJ132" i="30" s="1"/>
  <c r="T42" i="30"/>
  <c r="AJ42" i="30" s="1"/>
  <c r="T232" i="30"/>
  <c r="T239" i="30"/>
  <c r="L80" i="30"/>
  <c r="I97" i="26"/>
  <c r="X90" i="26"/>
  <c r="X97" i="26" s="1"/>
  <c r="K97" i="26"/>
  <c r="R17" i="30"/>
  <c r="AH17" i="30" s="1"/>
  <c r="P67" i="30"/>
  <c r="AF67" i="30" s="1"/>
  <c r="AA86" i="26"/>
  <c r="AA133" i="26" s="1"/>
  <c r="T53" i="30"/>
  <c r="AJ53" i="30" s="1"/>
  <c r="E49" i="30"/>
  <c r="E12" i="28" s="1"/>
  <c r="T35" i="30"/>
  <c r="AJ35" i="30" s="1"/>
  <c r="T15" i="30"/>
  <c r="AJ15" i="30" s="1"/>
  <c r="T12" i="30"/>
  <c r="AJ12" i="30" s="1"/>
  <c r="T10" i="30"/>
  <c r="AJ10" i="30" s="1"/>
  <c r="T89" i="30"/>
  <c r="AJ89" i="30" s="1"/>
  <c r="N97" i="26"/>
  <c r="I274" i="30"/>
  <c r="AC90" i="26"/>
  <c r="AC97" i="26" s="1"/>
  <c r="V121" i="30"/>
  <c r="AL121" i="30" s="1"/>
  <c r="T17" i="30"/>
  <c r="AJ17" i="30" s="1"/>
  <c r="AF41" i="26"/>
  <c r="R212" i="30"/>
  <c r="H97" i="26"/>
  <c r="AG64" i="26"/>
  <c r="Z90" i="26"/>
  <c r="Z97" i="26" s="1"/>
  <c r="P232" i="30"/>
  <c r="P75" i="30"/>
  <c r="AF75" i="30" s="1"/>
  <c r="V102" i="30"/>
  <c r="AL102" i="30" s="1"/>
  <c r="R208" i="30"/>
  <c r="P123" i="30"/>
  <c r="AF123" i="30" s="1"/>
  <c r="Q86" i="26"/>
  <c r="T104" i="30"/>
  <c r="AJ104" i="30" s="1"/>
  <c r="T63" i="30"/>
  <c r="AJ63" i="30" s="1"/>
  <c r="R258" i="30"/>
  <c r="AH258" i="30" s="1"/>
  <c r="R240" i="30"/>
  <c r="R214" i="30"/>
  <c r="AO10" i="30"/>
  <c r="T34" i="30"/>
  <c r="AJ34" i="30" s="1"/>
  <c r="T85" i="30"/>
  <c r="AJ85" i="30" s="1"/>
  <c r="J97" i="26"/>
  <c r="P209" i="30"/>
  <c r="R210" i="30"/>
  <c r="Y10" i="30"/>
  <c r="T124" i="30"/>
  <c r="AJ124" i="30" s="1"/>
  <c r="T83" i="30"/>
  <c r="AJ83" i="30" s="1"/>
  <c r="T33" i="30"/>
  <c r="AJ33" i="30" s="1"/>
  <c r="P43" i="30"/>
  <c r="AF43" i="30" s="1"/>
  <c r="K10" i="30"/>
  <c r="L10" i="30" s="1"/>
  <c r="T182" i="30"/>
  <c r="AJ182" i="30" s="1"/>
  <c r="T102" i="30"/>
  <c r="AJ102" i="30" s="1"/>
  <c r="R233" i="30"/>
  <c r="T135" i="30"/>
  <c r="AJ135" i="30" s="1"/>
  <c r="T45" i="30"/>
  <c r="AJ45" i="30" s="1"/>
  <c r="P133" i="30"/>
  <c r="AF133" i="30" s="1"/>
  <c r="J219" i="30"/>
  <c r="K190" i="30"/>
  <c r="L190" i="30" s="1"/>
  <c r="AF66" i="26"/>
  <c r="Q202" i="30"/>
  <c r="R204" i="30"/>
  <c r="S209" i="30"/>
  <c r="S205" i="30"/>
  <c r="U258" i="30"/>
  <c r="AK258" i="30" s="1"/>
  <c r="Y13" i="30"/>
  <c r="K151" i="30"/>
  <c r="L151" i="30" s="1"/>
  <c r="R83" i="30"/>
  <c r="AH83" i="30" s="1"/>
  <c r="P42" i="30"/>
  <c r="AF42" i="30" s="1"/>
  <c r="AF45" i="26"/>
  <c r="R15" i="30"/>
  <c r="AH15" i="30" s="1"/>
  <c r="AF78" i="26"/>
  <c r="G136" i="30"/>
  <c r="K122" i="30"/>
  <c r="L122" i="30" s="1"/>
  <c r="T77" i="30"/>
  <c r="AJ77" i="30" s="1"/>
  <c r="K132" i="30"/>
  <c r="L132" i="30" s="1"/>
  <c r="R207" i="30"/>
  <c r="V209" i="30"/>
  <c r="K187" i="30"/>
  <c r="L187" i="30" s="1"/>
  <c r="K147" i="30"/>
  <c r="L147" i="30" s="1"/>
  <c r="T100" i="30"/>
  <c r="AJ100" i="30" s="1"/>
  <c r="H191" i="30"/>
  <c r="P180" i="30"/>
  <c r="AF180" i="30" s="1"/>
  <c r="P15" i="30"/>
  <c r="AF15" i="30" s="1"/>
  <c r="AG39" i="26"/>
  <c r="R87" i="30"/>
  <c r="AH87" i="30" s="1"/>
  <c r="V55" i="30"/>
  <c r="AL55" i="30" s="1"/>
  <c r="T123" i="30"/>
  <c r="AJ123" i="30" s="1"/>
  <c r="T44" i="30"/>
  <c r="AJ44" i="30" s="1"/>
  <c r="AF43" i="26"/>
  <c r="I191" i="30"/>
  <c r="U213" i="30"/>
  <c r="Q203" i="30"/>
  <c r="R43" i="30"/>
  <c r="AH43" i="30" s="1"/>
  <c r="G133" i="26"/>
  <c r="R91" i="26"/>
  <c r="K69" i="30"/>
  <c r="L69" i="30" s="1"/>
  <c r="T134" i="30"/>
  <c r="AJ134" i="30" s="1"/>
  <c r="P26" i="30"/>
  <c r="AF26" i="30" s="1"/>
  <c r="P56" i="30"/>
  <c r="AF56" i="30" s="1"/>
  <c r="G97" i="26"/>
  <c r="V22" i="30"/>
  <c r="AL22" i="30" s="1"/>
  <c r="AO13" i="30"/>
  <c r="R218" i="30"/>
  <c r="R219" i="30" s="1"/>
  <c r="R152" i="30"/>
  <c r="AH152" i="30" s="1"/>
  <c r="K196" i="30"/>
  <c r="L196" i="30" s="1"/>
  <c r="AD39" i="26"/>
  <c r="AF72" i="26"/>
  <c r="AF53" i="26"/>
  <c r="R133" i="30"/>
  <c r="AH133" i="30" s="1"/>
  <c r="O240" i="30"/>
  <c r="P104" i="30"/>
  <c r="AF104" i="30" s="1"/>
  <c r="P17" i="30"/>
  <c r="AF17" i="30" s="1"/>
  <c r="M35" i="26"/>
  <c r="T240" i="30"/>
  <c r="O239" i="30"/>
  <c r="Y239" i="30" s="1"/>
  <c r="AG74" i="26"/>
  <c r="AG55" i="26"/>
  <c r="AG80" i="26"/>
  <c r="AF76" i="26"/>
  <c r="AF57" i="26"/>
  <c r="P63" i="30"/>
  <c r="AF63" i="30" s="1"/>
  <c r="Q209" i="30"/>
  <c r="V181" i="30"/>
  <c r="AL181" i="30" s="1"/>
  <c r="V13" i="30"/>
  <c r="AL13" i="30" s="1"/>
  <c r="U23" i="30"/>
  <c r="AK23" i="30" s="1"/>
  <c r="AO23" i="30" s="1"/>
  <c r="K53" i="30"/>
  <c r="L53" i="30" s="1"/>
  <c r="R13" i="30"/>
  <c r="AH13" i="30" s="1"/>
  <c r="P96" i="30"/>
  <c r="AF96" i="30" s="1"/>
  <c r="P18" i="30"/>
  <c r="AF18" i="30" s="1"/>
  <c r="K154" i="30"/>
  <c r="L154" i="30" s="1"/>
  <c r="V239" i="30"/>
  <c r="R201" i="30"/>
  <c r="U218" i="30"/>
  <c r="U219" i="30" s="1"/>
  <c r="R45" i="30"/>
  <c r="AH45" i="30" s="1"/>
  <c r="J13" i="26"/>
  <c r="V77" i="30"/>
  <c r="AL77" i="30" s="1"/>
  <c r="AG45" i="26"/>
  <c r="T96" i="30"/>
  <c r="AJ96" i="30" s="1"/>
  <c r="Q56" i="30"/>
  <c r="AG56" i="30" s="1"/>
  <c r="AO56" i="30" s="1"/>
  <c r="P13" i="30"/>
  <c r="AF13" i="30" s="1"/>
  <c r="P53" i="30"/>
  <c r="AF53" i="30" s="1"/>
  <c r="V35" i="30"/>
  <c r="AL35" i="30" s="1"/>
  <c r="J27" i="30"/>
  <c r="U212" i="30"/>
  <c r="Y212" i="30" s="1"/>
  <c r="Q213" i="30"/>
  <c r="K83" i="30"/>
  <c r="L83" i="30" s="1"/>
  <c r="V26" i="30"/>
  <c r="AL26" i="30" s="1"/>
  <c r="AG57" i="26"/>
  <c r="AG41" i="26"/>
  <c r="K188" i="30"/>
  <c r="L188" i="30" s="1"/>
  <c r="R180" i="30"/>
  <c r="AH180" i="30" s="1"/>
  <c r="R33" i="30"/>
  <c r="AH33" i="30" s="1"/>
  <c r="AG68" i="26"/>
  <c r="AG49" i="26"/>
  <c r="K195" i="30"/>
  <c r="L195" i="30" s="1"/>
  <c r="P132" i="30"/>
  <c r="AF132" i="30" s="1"/>
  <c r="Q211" i="30"/>
  <c r="K13" i="30"/>
  <c r="L13" i="30" s="1"/>
  <c r="H24" i="26"/>
  <c r="U210" i="30"/>
  <c r="I46" i="30"/>
  <c r="K18" i="30"/>
  <c r="L18" i="30" s="1"/>
  <c r="AD41" i="26"/>
  <c r="R92" i="26"/>
  <c r="R93" i="26"/>
  <c r="R94" i="26"/>
  <c r="R95" i="26"/>
  <c r="V25" i="30"/>
  <c r="AL25" i="30" s="1"/>
  <c r="K173" i="30"/>
  <c r="L173" i="30" s="1"/>
  <c r="R18" i="30"/>
  <c r="AH18" i="30" s="1"/>
  <c r="Q125" i="30"/>
  <c r="AG125" i="30" s="1"/>
  <c r="R133" i="26"/>
  <c r="R85" i="26"/>
  <c r="AG84" i="26"/>
  <c r="R83" i="26"/>
  <c r="R82" i="26"/>
  <c r="R81" i="26"/>
  <c r="K17" i="30"/>
  <c r="L17" i="30" s="1"/>
  <c r="J46" i="30"/>
  <c r="K181" i="30"/>
  <c r="L181" i="30" s="1"/>
  <c r="K207" i="30"/>
  <c r="L207" i="30" s="1"/>
  <c r="V17" i="30"/>
  <c r="AL17" i="30" s="1"/>
  <c r="T25" i="30"/>
  <c r="AJ25" i="30" s="1"/>
  <c r="R63" i="30"/>
  <c r="AH63" i="30" s="1"/>
  <c r="P45" i="30"/>
  <c r="AF45" i="30" s="1"/>
  <c r="V75" i="30"/>
  <c r="AL75" i="30" s="1"/>
  <c r="AG70" i="26"/>
  <c r="AG51" i="26"/>
  <c r="T121" i="30"/>
  <c r="AJ121" i="30" s="1"/>
  <c r="AG76" i="26"/>
  <c r="H46" i="30"/>
  <c r="I128" i="30"/>
  <c r="G35" i="26"/>
  <c r="H274" i="30"/>
  <c r="Q91" i="26"/>
  <c r="U214" i="30"/>
  <c r="V69" i="30"/>
  <c r="AL69" i="30" s="1"/>
  <c r="K85" i="30"/>
  <c r="K274" i="30" s="1"/>
  <c r="R11" i="30"/>
  <c r="AH11" i="30" s="1"/>
  <c r="Q14" i="30"/>
  <c r="AG14" i="30" s="1"/>
  <c r="M97" i="26"/>
  <c r="S202" i="30"/>
  <c r="K35" i="30"/>
  <c r="L35" i="30" s="1"/>
  <c r="AG47" i="26"/>
  <c r="AF59" i="26"/>
  <c r="T131" i="30"/>
  <c r="AJ131" i="30" s="1"/>
  <c r="T43" i="30"/>
  <c r="I215" i="30"/>
  <c r="L35" i="26"/>
  <c r="G219" i="30"/>
  <c r="U202" i="30"/>
  <c r="U211" i="30"/>
  <c r="T214" i="30"/>
  <c r="K33" i="30"/>
  <c r="L33" i="30" s="1"/>
  <c r="K45" i="30"/>
  <c r="L45" i="30" s="1"/>
  <c r="AD76" i="26"/>
  <c r="T73" i="30"/>
  <c r="AJ73" i="30" s="1"/>
  <c r="P83" i="30"/>
  <c r="AF83" i="30" s="1"/>
  <c r="AG18" i="30"/>
  <c r="Y18" i="30"/>
  <c r="AD51" i="26"/>
  <c r="R96" i="26"/>
  <c r="H13" i="26"/>
  <c r="AA92" i="26"/>
  <c r="AD92" i="26" s="1"/>
  <c r="V233" i="30"/>
  <c r="P201" i="30"/>
  <c r="V203" i="30"/>
  <c r="Q218" i="30"/>
  <c r="K179" i="30"/>
  <c r="L179" i="30" s="1"/>
  <c r="V127" i="30"/>
  <c r="AL127" i="30" s="1"/>
  <c r="T14" i="30"/>
  <c r="AJ14" i="30" s="1"/>
  <c r="R179" i="30"/>
  <c r="AH179" i="30" s="1"/>
  <c r="R96" i="30"/>
  <c r="AH96" i="30" s="1"/>
  <c r="R42" i="30"/>
  <c r="AH42" i="30" s="1"/>
  <c r="Q135" i="30"/>
  <c r="AG135" i="30" s="1"/>
  <c r="Q112" i="30"/>
  <c r="AG112" i="30" s="1"/>
  <c r="Q71" i="30"/>
  <c r="AG71" i="30" s="1"/>
  <c r="P152" i="30"/>
  <c r="AF152" i="30" s="1"/>
  <c r="P85" i="30"/>
  <c r="AF85" i="30" s="1"/>
  <c r="O181" i="30"/>
  <c r="AE181" i="30" s="1"/>
  <c r="K44" i="30"/>
  <c r="L44" i="30" s="1"/>
  <c r="J198" i="30"/>
  <c r="T110" i="30"/>
  <c r="AJ110" i="30" s="1"/>
  <c r="H27" i="30"/>
  <c r="AA94" i="26"/>
  <c r="AG94" i="26" s="1"/>
  <c r="I219" i="30"/>
  <c r="K22" i="30"/>
  <c r="L22" i="30" s="1"/>
  <c r="K239" i="30"/>
  <c r="L239" i="30" s="1"/>
  <c r="K127" i="30"/>
  <c r="L127" i="30" s="1"/>
  <c r="P36" i="30"/>
  <c r="AF36" i="30" s="1"/>
  <c r="AD64" i="26"/>
  <c r="AD47" i="26"/>
  <c r="I198" i="30"/>
  <c r="AO17" i="30"/>
  <c r="R84" i="26"/>
  <c r="G38" i="30"/>
  <c r="V208" i="30"/>
  <c r="R239" i="30"/>
  <c r="T204" i="30"/>
  <c r="U232" i="30"/>
  <c r="P203" i="30"/>
  <c r="K23" i="30"/>
  <c r="L23" i="30" s="1"/>
  <c r="K125" i="30"/>
  <c r="L125" i="30" s="1"/>
  <c r="K233" i="30"/>
  <c r="L233" i="30" s="1"/>
  <c r="V100" i="30"/>
  <c r="AL100" i="30" s="1"/>
  <c r="AD59" i="26"/>
  <c r="AG43" i="26"/>
  <c r="AD74" i="26"/>
  <c r="T23" i="30"/>
  <c r="AJ23" i="30" s="1"/>
  <c r="R127" i="30"/>
  <c r="AH127" i="30" s="1"/>
  <c r="R26" i="30"/>
  <c r="AH26" i="30" s="1"/>
  <c r="P126" i="30"/>
  <c r="AF126" i="30" s="1"/>
  <c r="P69" i="30"/>
  <c r="P33" i="30"/>
  <c r="AF33" i="30" s="1"/>
  <c r="V27" i="26"/>
  <c r="I13" i="26"/>
  <c r="Y69" i="30"/>
  <c r="P211" i="30"/>
  <c r="O218" i="30"/>
  <c r="T218" i="30"/>
  <c r="T219" i="30" s="1"/>
  <c r="U204" i="30"/>
  <c r="V87" i="30"/>
  <c r="AL87" i="30" s="1"/>
  <c r="T183" i="30"/>
  <c r="AJ183" i="30" s="1"/>
  <c r="R69" i="30"/>
  <c r="AH69" i="30" s="1"/>
  <c r="R23" i="30"/>
  <c r="AH23" i="30" s="1"/>
  <c r="P124" i="30"/>
  <c r="AF124" i="30" s="1"/>
  <c r="K25" i="30"/>
  <c r="L25" i="30" s="1"/>
  <c r="G19" i="30"/>
  <c r="O55" i="30"/>
  <c r="AE55" i="30" s="1"/>
  <c r="L97" i="26"/>
  <c r="AA93" i="26"/>
  <c r="AG93" i="26" s="1"/>
  <c r="G128" i="30"/>
  <c r="O213" i="30"/>
  <c r="P207" i="30"/>
  <c r="K96" i="30"/>
  <c r="L96" i="30" s="1"/>
  <c r="K182" i="30"/>
  <c r="L182" i="30" s="1"/>
  <c r="T36" i="30"/>
  <c r="AJ36" i="30" s="1"/>
  <c r="R120" i="30"/>
  <c r="AH120" i="30" s="1"/>
  <c r="AO77" i="30"/>
  <c r="P182" i="30"/>
  <c r="AF182" i="30" s="1"/>
  <c r="P22" i="30"/>
  <c r="AF22" i="30" s="1"/>
  <c r="W13" i="26"/>
  <c r="R90" i="26"/>
  <c r="N13" i="26"/>
  <c r="O207" i="30"/>
  <c r="K131" i="30"/>
  <c r="L131" i="30" s="1"/>
  <c r="AG53" i="26"/>
  <c r="G198" i="30"/>
  <c r="K171" i="30"/>
  <c r="L171" i="30" s="1"/>
  <c r="AG96" i="30"/>
  <c r="AO96" i="30" s="1"/>
  <c r="Y96" i="30"/>
  <c r="AG26" i="30"/>
  <c r="AO26" i="30" s="1"/>
  <c r="Y26" i="30"/>
  <c r="AB97" i="26"/>
  <c r="AK124" i="30"/>
  <c r="AK128" i="30" s="1"/>
  <c r="U128" i="30"/>
  <c r="K143" i="30"/>
  <c r="L143" i="30" s="1"/>
  <c r="J128" i="30"/>
  <c r="V201" i="30"/>
  <c r="G46" i="30"/>
  <c r="K77" i="30"/>
  <c r="L77" i="30" s="1"/>
  <c r="K180" i="30"/>
  <c r="L180" i="30" s="1"/>
  <c r="Q231" i="30"/>
  <c r="V125" i="30"/>
  <c r="AL125" i="30" s="1"/>
  <c r="AC86" i="26"/>
  <c r="AC133" i="26" s="1"/>
  <c r="T180" i="30"/>
  <c r="AJ180" i="30" s="1"/>
  <c r="R85" i="30"/>
  <c r="AH85" i="30" s="1"/>
  <c r="R25" i="30"/>
  <c r="AH25" i="30" s="1"/>
  <c r="R53" i="30"/>
  <c r="AH53" i="30" s="1"/>
  <c r="Q75" i="30"/>
  <c r="AG75" i="30" s="1"/>
  <c r="P134" i="30"/>
  <c r="AF134" i="30" s="1"/>
  <c r="P112" i="30"/>
  <c r="AF112" i="30" s="1"/>
  <c r="P73" i="30"/>
  <c r="AF73" i="30" s="1"/>
  <c r="P37" i="30"/>
  <c r="AF37" i="30" s="1"/>
  <c r="P16" i="30"/>
  <c r="AF16" i="30" s="1"/>
  <c r="G27" i="30"/>
  <c r="AD68" i="26"/>
  <c r="AF49" i="26"/>
  <c r="Q84" i="26"/>
  <c r="AF83" i="26"/>
  <c r="Q82" i="26"/>
  <c r="J274" i="30"/>
  <c r="Q93" i="26"/>
  <c r="Q95" i="26"/>
  <c r="Q94" i="26"/>
  <c r="Q92" i="26"/>
  <c r="H136" i="30"/>
  <c r="G184" i="30"/>
  <c r="K42" i="30"/>
  <c r="L42" i="30" s="1"/>
  <c r="K98" i="30"/>
  <c r="L98" i="30" s="1"/>
  <c r="T231" i="30"/>
  <c r="V124" i="30"/>
  <c r="AL124" i="30" s="1"/>
  <c r="AC85" i="26"/>
  <c r="AG85" i="26" s="1"/>
  <c r="I19" i="30"/>
  <c r="Q18" i="26"/>
  <c r="X13" i="26"/>
  <c r="I136" i="30"/>
  <c r="T212" i="30"/>
  <c r="K26" i="30"/>
  <c r="L26" i="30" s="1"/>
  <c r="AD66" i="26"/>
  <c r="V122" i="30"/>
  <c r="AL122" i="30" s="1"/>
  <c r="V71" i="30"/>
  <c r="AL71" i="30" s="1"/>
  <c r="T152" i="30"/>
  <c r="AJ152" i="30" s="1"/>
  <c r="R102" i="30"/>
  <c r="AH102" i="30" s="1"/>
  <c r="R77" i="30"/>
  <c r="AH77" i="30" s="1"/>
  <c r="R22" i="30"/>
  <c r="P98" i="30"/>
  <c r="AF98" i="30" s="1"/>
  <c r="P258" i="30"/>
  <c r="AF258" i="30" s="1"/>
  <c r="Q90" i="26"/>
  <c r="Q29" i="26"/>
  <c r="S136" i="30"/>
  <c r="Y77" i="30"/>
  <c r="I38" i="30"/>
  <c r="K37" i="30"/>
  <c r="L37" i="30" s="1"/>
  <c r="K218" i="30"/>
  <c r="K219" i="30" s="1"/>
  <c r="AD45" i="26"/>
  <c r="AC83" i="26"/>
  <c r="AG83" i="26" s="1"/>
  <c r="T37" i="30"/>
  <c r="AJ37" i="30" s="1"/>
  <c r="T26" i="30"/>
  <c r="AJ26" i="30" s="1"/>
  <c r="R37" i="30"/>
  <c r="AH37" i="30" s="1"/>
  <c r="P183" i="30"/>
  <c r="P131" i="30"/>
  <c r="AF131" i="30" s="1"/>
  <c r="AF47" i="26"/>
  <c r="R86" i="26"/>
  <c r="H35" i="26"/>
  <c r="O32" i="26"/>
  <c r="Y97" i="26"/>
  <c r="V97" i="26"/>
  <c r="AG96" i="26"/>
  <c r="I27" i="30"/>
  <c r="S208" i="30"/>
  <c r="V120" i="30"/>
  <c r="AL120" i="30" s="1"/>
  <c r="AC81" i="26"/>
  <c r="AG81" i="26" s="1"/>
  <c r="R126" i="30"/>
  <c r="AH126" i="30" s="1"/>
  <c r="R100" i="30"/>
  <c r="AH100" i="30" s="1"/>
  <c r="R35" i="30"/>
  <c r="AH35" i="30" s="1"/>
  <c r="AF70" i="26"/>
  <c r="AF51" i="26"/>
  <c r="P127" i="30"/>
  <c r="P94" i="30"/>
  <c r="AF94" i="30" s="1"/>
  <c r="P23" i="30"/>
  <c r="AF23" i="30" s="1"/>
  <c r="AG66" i="26"/>
  <c r="AF64" i="26"/>
  <c r="AF91" i="26"/>
  <c r="I35" i="26"/>
  <c r="Y17" i="30"/>
  <c r="K67" i="30"/>
  <c r="L67" i="30" s="1"/>
  <c r="V36" i="30"/>
  <c r="AL36" i="30" s="1"/>
  <c r="V14" i="30"/>
  <c r="AL14" i="30" s="1"/>
  <c r="T133" i="30"/>
  <c r="AJ133" i="30" s="1"/>
  <c r="AG63" i="26"/>
  <c r="AG72" i="26"/>
  <c r="K172" i="30"/>
  <c r="L172" i="30" s="1"/>
  <c r="Q96" i="26"/>
  <c r="O258" i="30"/>
  <c r="AE258" i="30" s="1"/>
  <c r="K56" i="30"/>
  <c r="L56" i="30" s="1"/>
  <c r="V56" i="30"/>
  <c r="AL56" i="30" s="1"/>
  <c r="T87" i="30"/>
  <c r="AJ87" i="30" s="1"/>
  <c r="T11" i="30"/>
  <c r="AJ11" i="30" s="1"/>
  <c r="T56" i="30"/>
  <c r="AJ56" i="30" s="1"/>
  <c r="R121" i="30"/>
  <c r="AH121" i="30" s="1"/>
  <c r="Q182" i="30"/>
  <c r="Q67" i="30"/>
  <c r="V13" i="26"/>
  <c r="AE37" i="30"/>
  <c r="AO37" i="30" s="1"/>
  <c r="K189" i="30"/>
  <c r="L189" i="30" s="1"/>
  <c r="J191" i="30"/>
  <c r="U12" i="30"/>
  <c r="V12" i="30"/>
  <c r="AL12" i="30" s="1"/>
  <c r="K12" i="30"/>
  <c r="L12" i="30" s="1"/>
  <c r="J19" i="30"/>
  <c r="G13" i="26"/>
  <c r="N35" i="26"/>
  <c r="AF81" i="26"/>
  <c r="W27" i="26"/>
  <c r="AF68" i="26"/>
  <c r="V134" i="30"/>
  <c r="AL134" i="30" s="1"/>
  <c r="K134" i="30"/>
  <c r="L134" i="30" s="1"/>
  <c r="J136" i="30"/>
  <c r="U134" i="30"/>
  <c r="AK134" i="30" s="1"/>
  <c r="AH182" i="30"/>
  <c r="R24" i="30"/>
  <c r="AH24" i="30" s="1"/>
  <c r="Q24" i="30"/>
  <c r="AG24" i="30" s="1"/>
  <c r="AE126" i="30"/>
  <c r="O14" i="30"/>
  <c r="P14" i="30"/>
  <c r="K14" i="30"/>
  <c r="L14" i="30" s="1"/>
  <c r="AD80" i="26"/>
  <c r="AF80" i="26"/>
  <c r="AG127" i="30"/>
  <c r="AO127" i="30" s="1"/>
  <c r="Y127" i="30"/>
  <c r="AF94" i="26"/>
  <c r="V34" i="30"/>
  <c r="AL34" i="30" s="1"/>
  <c r="K34" i="30"/>
  <c r="U34" i="30"/>
  <c r="AK34" i="30" s="1"/>
  <c r="AI83" i="30"/>
  <c r="AO83" i="30" s="1"/>
  <c r="Y83" i="30"/>
  <c r="S16" i="30"/>
  <c r="T16" i="30"/>
  <c r="L24" i="26"/>
  <c r="AC10" i="26"/>
  <c r="AC13" i="26" s="1"/>
  <c r="AF29" i="26"/>
  <c r="Q85" i="26"/>
  <c r="Y37" i="30"/>
  <c r="T201" i="30"/>
  <c r="S201" i="30"/>
  <c r="Y201" i="30" s="1"/>
  <c r="S203" i="30"/>
  <c r="T203" i="30"/>
  <c r="T207" i="30"/>
  <c r="S207" i="30"/>
  <c r="S211" i="30"/>
  <c r="T211" i="30"/>
  <c r="T213" i="30"/>
  <c r="Z213" i="30" s="1"/>
  <c r="S213" i="30"/>
  <c r="K232" i="30"/>
  <c r="L232" i="30" s="1"/>
  <c r="R232" i="30"/>
  <c r="Q232" i="30"/>
  <c r="Q94" i="30"/>
  <c r="AG94" i="30" s="1"/>
  <c r="K94" i="30"/>
  <c r="L94" i="30" s="1"/>
  <c r="R94" i="30"/>
  <c r="AH94" i="30" s="1"/>
  <c r="Q73" i="30"/>
  <c r="K73" i="30"/>
  <c r="L73" i="30" s="1"/>
  <c r="K194" i="30"/>
  <c r="P102" i="30"/>
  <c r="K102" i="30"/>
  <c r="L102" i="30" s="1"/>
  <c r="O102" i="30"/>
  <c r="AI35" i="30"/>
  <c r="AI38" i="30" s="1"/>
  <c r="S38" i="30"/>
  <c r="S24" i="30"/>
  <c r="T24" i="30"/>
  <c r="S55" i="30"/>
  <c r="AI55" i="30" s="1"/>
  <c r="T55" i="30"/>
  <c r="AJ55" i="30" s="1"/>
  <c r="AK22" i="30"/>
  <c r="AG22" i="30"/>
  <c r="Y22" i="30"/>
  <c r="W97" i="26"/>
  <c r="R33" i="26"/>
  <c r="Q81" i="26"/>
  <c r="G24" i="26"/>
  <c r="U43" i="30"/>
  <c r="Y43" i="30" s="1"/>
  <c r="V43" i="30"/>
  <c r="K43" i="30"/>
  <c r="K110" i="30"/>
  <c r="L110" i="30" s="1"/>
  <c r="S75" i="30"/>
  <c r="K75" i="30"/>
  <c r="L75" i="30" s="1"/>
  <c r="T75" i="30"/>
  <c r="AJ75" i="30" s="1"/>
  <c r="V152" i="30"/>
  <c r="U152" i="30"/>
  <c r="K36" i="30"/>
  <c r="L36" i="30" s="1"/>
  <c r="R36" i="30"/>
  <c r="Q36" i="30"/>
  <c r="O24" i="30"/>
  <c r="K24" i="30"/>
  <c r="P24" i="30"/>
  <c r="AF24" i="30" s="1"/>
  <c r="M13" i="26"/>
  <c r="AF85" i="26"/>
  <c r="AD49" i="26"/>
  <c r="AF96" i="26"/>
  <c r="Q83" i="26"/>
  <c r="Q27" i="26"/>
  <c r="J38" i="30"/>
  <c r="AG59" i="26"/>
  <c r="V73" i="30"/>
  <c r="AL73" i="30" s="1"/>
  <c r="U73" i="30"/>
  <c r="AK73" i="30" s="1"/>
  <c r="AH73" i="30"/>
  <c r="Q124" i="30"/>
  <c r="R124" i="30"/>
  <c r="K124" i="30"/>
  <c r="L124" i="30" s="1"/>
  <c r="S126" i="30"/>
  <c r="Y126" i="30" s="1"/>
  <c r="K126" i="30"/>
  <c r="L126" i="30" s="1"/>
  <c r="T126" i="30"/>
  <c r="AJ126" i="30" s="1"/>
  <c r="S120" i="30"/>
  <c r="AI120" i="30" s="1"/>
  <c r="T120" i="30"/>
  <c r="AJ120" i="30" s="1"/>
  <c r="K120" i="30"/>
  <c r="L120" i="30" s="1"/>
  <c r="O71" i="30"/>
  <c r="K71" i="30"/>
  <c r="L71" i="30" s="1"/>
  <c r="P71" i="30"/>
  <c r="H38" i="30"/>
  <c r="U110" i="30"/>
  <c r="AK110" i="30" s="1"/>
  <c r="V110" i="30"/>
  <c r="AL110" i="30" s="1"/>
  <c r="H198" i="30"/>
  <c r="K197" i="30"/>
  <c r="L197" i="30" s="1"/>
  <c r="Q183" i="30"/>
  <c r="R183" i="30"/>
  <c r="AH183" i="30" s="1"/>
  <c r="K183" i="30"/>
  <c r="L183" i="30" s="1"/>
  <c r="H184" i="30"/>
  <c r="AG43" i="30"/>
  <c r="K16" i="30"/>
  <c r="L16" i="30" s="1"/>
  <c r="H19" i="30"/>
  <c r="Q16" i="30"/>
  <c r="R16" i="30"/>
  <c r="AH16" i="30" s="1"/>
  <c r="K55" i="30"/>
  <c r="L55" i="30" s="1"/>
  <c r="K121" i="30"/>
  <c r="L121" i="30" s="1"/>
  <c r="AI43" i="30"/>
  <c r="AI46" i="30" s="1"/>
  <c r="S46" i="30"/>
  <c r="K155" i="30"/>
  <c r="L155" i="30" s="1"/>
  <c r="P89" i="30"/>
  <c r="AF89" i="30" s="1"/>
  <c r="O89" i="30"/>
  <c r="AE89" i="30" s="1"/>
  <c r="AB86" i="26"/>
  <c r="AB133" i="26" s="1"/>
  <c r="M133" i="26"/>
  <c r="AD78" i="26"/>
  <c r="AG78" i="26"/>
  <c r="K152" i="30"/>
  <c r="L152" i="30" s="1"/>
  <c r="K24" i="26"/>
  <c r="AK69" i="30"/>
  <c r="AO69" i="30" s="1"/>
  <c r="AE120" i="30"/>
  <c r="T181" i="30"/>
  <c r="I184" i="30"/>
  <c r="S181" i="30"/>
  <c r="S184" i="30" s="1"/>
  <c r="K153" i="30"/>
  <c r="L153" i="30" s="1"/>
  <c r="V207" i="30"/>
  <c r="P231" i="30"/>
  <c r="V131" i="30"/>
  <c r="AL131" i="30" s="1"/>
  <c r="V37" i="30"/>
  <c r="V18" i="30"/>
  <c r="R132" i="30"/>
  <c r="AH132" i="30" s="1"/>
  <c r="R98" i="30"/>
  <c r="AH98" i="30" s="1"/>
  <c r="P120" i="30"/>
  <c r="AF120" i="30" s="1"/>
  <c r="P77" i="30"/>
  <c r="P34" i="30"/>
  <c r="AF34" i="30" s="1"/>
  <c r="P12" i="30"/>
  <c r="K201" i="30"/>
  <c r="L201" i="30" s="1"/>
  <c r="K203" i="30"/>
  <c r="L203" i="30" s="1"/>
  <c r="K209" i="30"/>
  <c r="L209" i="30" s="1"/>
  <c r="K213" i="30"/>
  <c r="L213" i="30" s="1"/>
  <c r="AD70" i="26"/>
  <c r="O90" i="26"/>
  <c r="O91" i="26"/>
  <c r="O92" i="26"/>
  <c r="O93" i="26"/>
  <c r="O94" i="26"/>
  <c r="O95" i="26"/>
  <c r="O96" i="26"/>
  <c r="V126" i="30"/>
  <c r="AL126" i="30" s="1"/>
  <c r="W133" i="26"/>
  <c r="V182" i="30"/>
  <c r="V96" i="30"/>
  <c r="K258" i="30"/>
  <c r="L258" i="30" s="1"/>
  <c r="O179" i="30"/>
  <c r="AD53" i="26"/>
  <c r="AD43" i="26"/>
  <c r="AF74" i="26"/>
  <c r="AF55" i="26"/>
  <c r="AF39" i="26"/>
  <c r="O81" i="26"/>
  <c r="L46" i="26"/>
  <c r="AA46" i="26" s="1"/>
  <c r="M46" i="26"/>
  <c r="N46" i="26"/>
  <c r="G46" i="26"/>
  <c r="V46" i="26" s="1"/>
  <c r="I46" i="26"/>
  <c r="X46" i="26" s="1"/>
  <c r="J46" i="26"/>
  <c r="Y46" i="26" s="1"/>
  <c r="H46" i="26"/>
  <c r="W46" i="26" s="1"/>
  <c r="K46" i="26"/>
  <c r="L82" i="30"/>
  <c r="E23" i="28"/>
  <c r="C15" i="20"/>
  <c r="C28" i="28"/>
  <c r="D34" i="24"/>
  <c r="N31" i="24"/>
  <c r="C34" i="24"/>
  <c r="A24" i="28"/>
  <c r="A25" i="28" s="1"/>
  <c r="A26" i="28" s="1"/>
  <c r="C24" i="28"/>
  <c r="V82" i="26"/>
  <c r="W82" i="26"/>
  <c r="Z82" i="26"/>
  <c r="Y82" i="26"/>
  <c r="AC82" i="26"/>
  <c r="AA82" i="26"/>
  <c r="X82" i="26"/>
  <c r="AB82" i="26"/>
  <c r="AG95" i="26"/>
  <c r="AC19" i="26"/>
  <c r="AG19" i="26" s="1"/>
  <c r="R19" i="26"/>
  <c r="N24" i="26"/>
  <c r="AC20" i="26"/>
  <c r="AG20" i="26" s="1"/>
  <c r="R20" i="26"/>
  <c r="Z28" i="26"/>
  <c r="O28" i="26"/>
  <c r="Q28" i="26"/>
  <c r="K35" i="26"/>
  <c r="I79" i="30"/>
  <c r="G79" i="30"/>
  <c r="J79" i="30"/>
  <c r="H79" i="30"/>
  <c r="K13" i="26"/>
  <c r="X16" i="26"/>
  <c r="Q16" i="26"/>
  <c r="I24" i="26"/>
  <c r="O18" i="26"/>
  <c r="V20" i="26"/>
  <c r="O20" i="26"/>
  <c r="R22" i="26"/>
  <c r="AC22" i="26"/>
  <c r="AG22" i="26" s="1"/>
  <c r="AB23" i="26"/>
  <c r="AF23" i="26" s="1"/>
  <c r="Q23" i="26"/>
  <c r="AA27" i="26"/>
  <c r="R27" i="26"/>
  <c r="W17" i="26"/>
  <c r="W24" i="26" s="1"/>
  <c r="R17" i="26"/>
  <c r="V19" i="26"/>
  <c r="O19" i="26"/>
  <c r="M24" i="26"/>
  <c r="Q21" i="26"/>
  <c r="O11" i="26"/>
  <c r="S11" i="26" s="1"/>
  <c r="Z33" i="26"/>
  <c r="Q33" i="26"/>
  <c r="Y34" i="26"/>
  <c r="AD34" i="26" s="1"/>
  <c r="O34" i="26"/>
  <c r="R34" i="26"/>
  <c r="AF93" i="26"/>
  <c r="H77" i="26"/>
  <c r="W77" i="26" s="1"/>
  <c r="I77" i="26"/>
  <c r="X77" i="26" s="1"/>
  <c r="J77" i="26"/>
  <c r="Y77" i="26" s="1"/>
  <c r="M77" i="26"/>
  <c r="K77" i="26"/>
  <c r="G77" i="26"/>
  <c r="V77" i="26" s="1"/>
  <c r="L77" i="26"/>
  <c r="AA77" i="26" s="1"/>
  <c r="N77" i="26"/>
  <c r="Z17" i="26"/>
  <c r="AF17" i="26" s="1"/>
  <c r="Q17" i="26"/>
  <c r="E274" i="30"/>
  <c r="Y18" i="26"/>
  <c r="AG18" i="26" s="1"/>
  <c r="R18" i="26"/>
  <c r="I69" i="26"/>
  <c r="X69" i="26" s="1"/>
  <c r="J69" i="26"/>
  <c r="Y69" i="26" s="1"/>
  <c r="L69" i="26"/>
  <c r="AA69" i="26" s="1"/>
  <c r="N69" i="26"/>
  <c r="G69" i="26"/>
  <c r="V69" i="26" s="1"/>
  <c r="H69" i="26"/>
  <c r="W69" i="26" s="1"/>
  <c r="M69" i="26"/>
  <c r="K69" i="26"/>
  <c r="J24" i="26"/>
  <c r="L13" i="26"/>
  <c r="AF95" i="26"/>
  <c r="O22" i="26"/>
  <c r="C11" i="28"/>
  <c r="A30" i="30"/>
  <c r="A31" i="30" s="1"/>
  <c r="A32" i="30" s="1"/>
  <c r="A33" i="30" s="1"/>
  <c r="A34" i="30" s="1"/>
  <c r="A35" i="30" s="1"/>
  <c r="A36" i="30" s="1"/>
  <c r="A37" i="30" s="1"/>
  <c r="A38" i="30" s="1"/>
  <c r="A39" i="30" s="1"/>
  <c r="A40" i="30" s="1"/>
  <c r="A41" i="30" s="1"/>
  <c r="A42" i="30" s="1"/>
  <c r="A43" i="30" s="1"/>
  <c r="A44" i="30" s="1"/>
  <c r="A45" i="30" s="1"/>
  <c r="A46" i="30" s="1"/>
  <c r="A47" i="30" s="1"/>
  <c r="A48" i="30" s="1"/>
  <c r="A49" i="30" s="1"/>
  <c r="Q19" i="26"/>
  <c r="X19" i="26"/>
  <c r="AD95" i="26"/>
  <c r="Y29" i="26"/>
  <c r="AD29" i="26" s="1"/>
  <c r="R29" i="26"/>
  <c r="J35" i="26"/>
  <c r="X30" i="26"/>
  <c r="Q30" i="26"/>
  <c r="AD57" i="26"/>
  <c r="E56" i="26"/>
  <c r="AD12" i="26"/>
  <c r="O16" i="26"/>
  <c r="Q123" i="30"/>
  <c r="R123" i="30"/>
  <c r="K123" i="30"/>
  <c r="H128" i="30"/>
  <c r="R104" i="30"/>
  <c r="Q104" i="30"/>
  <c r="K104" i="30"/>
  <c r="L104" i="30" s="1"/>
  <c r="Q89" i="30"/>
  <c r="R89" i="30"/>
  <c r="K89" i="30"/>
  <c r="L89" i="30" s="1"/>
  <c r="N38" i="26"/>
  <c r="K38" i="26"/>
  <c r="G38" i="26"/>
  <c r="I38" i="26"/>
  <c r="L38" i="26"/>
  <c r="M38" i="26"/>
  <c r="H38" i="26"/>
  <c r="J38" i="26"/>
  <c r="AB10" i="26"/>
  <c r="Q10" i="26"/>
  <c r="Q13" i="26" s="1"/>
  <c r="AA16" i="26"/>
  <c r="R16" i="26"/>
  <c r="AB31" i="26"/>
  <c r="AF31" i="26" s="1"/>
  <c r="Q31" i="26"/>
  <c r="AA32" i="26"/>
  <c r="R32" i="26"/>
  <c r="AG33" i="26"/>
  <c r="AF34" i="26"/>
  <c r="Q22" i="26"/>
  <c r="M40" i="26"/>
  <c r="N40" i="26"/>
  <c r="K40" i="26"/>
  <c r="H40" i="26"/>
  <c r="W40" i="26" s="1"/>
  <c r="J40" i="26"/>
  <c r="Y40" i="26" s="1"/>
  <c r="L40" i="26"/>
  <c r="AA40" i="26" s="1"/>
  <c r="G40" i="26"/>
  <c r="V40" i="26" s="1"/>
  <c r="I40" i="26"/>
  <c r="X40" i="26" s="1"/>
  <c r="W28" i="26"/>
  <c r="R28" i="26"/>
  <c r="V30" i="26"/>
  <c r="O30" i="26"/>
  <c r="AC30" i="26"/>
  <c r="R30" i="26"/>
  <c r="AC31" i="26"/>
  <c r="AG31" i="26" s="1"/>
  <c r="R31" i="26"/>
  <c r="AB32" i="26"/>
  <c r="AF32" i="26" s="1"/>
  <c r="Q32" i="26"/>
  <c r="L18" i="24"/>
  <c r="L15" i="24"/>
  <c r="L16" i="24"/>
  <c r="L11" i="24"/>
  <c r="L14" i="24"/>
  <c r="L7" i="24"/>
  <c r="L12" i="24"/>
  <c r="I25" i="24"/>
  <c r="L8" i="24"/>
  <c r="L17" i="24"/>
  <c r="L10" i="24"/>
  <c r="L23" i="24"/>
  <c r="L19" i="24"/>
  <c r="L21" i="24"/>
  <c r="L9" i="24"/>
  <c r="L22" i="24"/>
  <c r="L13" i="24"/>
  <c r="G8" i="12"/>
  <c r="AF22" i="26"/>
  <c r="Y23" i="26"/>
  <c r="AG23" i="26" s="1"/>
  <c r="O23" i="26"/>
  <c r="R23" i="26"/>
  <c r="X27" i="26"/>
  <c r="O27" i="26"/>
  <c r="O29" i="26"/>
  <c r="O31" i="26"/>
  <c r="Q34" i="26"/>
  <c r="AD96" i="26"/>
  <c r="J54" i="26"/>
  <c r="Y54" i="26" s="1"/>
  <c r="L54" i="26"/>
  <c r="AA54" i="26" s="1"/>
  <c r="M54" i="26"/>
  <c r="K54" i="26"/>
  <c r="H54" i="26"/>
  <c r="W54" i="26" s="1"/>
  <c r="I54" i="26"/>
  <c r="X54" i="26" s="1"/>
  <c r="G54" i="26"/>
  <c r="V54" i="26" s="1"/>
  <c r="N54" i="26"/>
  <c r="AB20" i="26"/>
  <c r="Q20" i="26"/>
  <c r="AA21" i="26"/>
  <c r="AG21" i="26" s="1"/>
  <c r="R21" i="26"/>
  <c r="O21" i="26"/>
  <c r="V33" i="26"/>
  <c r="O33" i="26"/>
  <c r="E29" i="30"/>
  <c r="AD91" i="26"/>
  <c r="L52" i="26"/>
  <c r="AA52" i="26" s="1"/>
  <c r="M52" i="26"/>
  <c r="N52" i="26"/>
  <c r="G52" i="26"/>
  <c r="V52" i="26" s="1"/>
  <c r="I52" i="26"/>
  <c r="X52" i="26" s="1"/>
  <c r="J52" i="26"/>
  <c r="Y52" i="26" s="1"/>
  <c r="H52" i="26"/>
  <c r="W52" i="26" s="1"/>
  <c r="K52" i="26"/>
  <c r="Z52" i="26" s="1"/>
  <c r="V240" i="30"/>
  <c r="U240" i="30"/>
  <c r="L107" i="30"/>
  <c r="G250" i="30"/>
  <c r="E234" i="30"/>
  <c r="L235" i="30"/>
  <c r="AF18" i="26"/>
  <c r="K202" i="30"/>
  <c r="O202" i="30"/>
  <c r="P202" i="30"/>
  <c r="Z202" i="30" s="1"/>
  <c r="O204" i="30"/>
  <c r="K204" i="30"/>
  <c r="L204" i="30" s="1"/>
  <c r="K208" i="30"/>
  <c r="L208" i="30" s="1"/>
  <c r="O208" i="30"/>
  <c r="P208" i="30"/>
  <c r="K210" i="30"/>
  <c r="L210" i="30" s="1"/>
  <c r="O210" i="30"/>
  <c r="P210" i="30"/>
  <c r="K212" i="30"/>
  <c r="L212" i="30" s="1"/>
  <c r="P212" i="30"/>
  <c r="P214" i="30"/>
  <c r="O214" i="30"/>
  <c r="K214" i="30"/>
  <c r="L214" i="30" s="1"/>
  <c r="P233" i="30"/>
  <c r="O233" i="30"/>
  <c r="AG91" i="26"/>
  <c r="J58" i="26"/>
  <c r="Y58" i="26" s="1"/>
  <c r="L58" i="26"/>
  <c r="AA58" i="26" s="1"/>
  <c r="M58" i="26"/>
  <c r="K58" i="26"/>
  <c r="Z58" i="26" s="1"/>
  <c r="H58" i="26"/>
  <c r="W58" i="26" s="1"/>
  <c r="I58" i="26"/>
  <c r="X58" i="26" s="1"/>
  <c r="N58" i="26"/>
  <c r="G58" i="26"/>
  <c r="V58" i="26" s="1"/>
  <c r="O10" i="26"/>
  <c r="V231" i="30"/>
  <c r="U231" i="30"/>
  <c r="D14" i="12"/>
  <c r="R61" i="32"/>
  <c r="P14" i="12" s="1"/>
  <c r="L28" i="28" s="1"/>
  <c r="AF92" i="26"/>
  <c r="J65" i="26"/>
  <c r="L65" i="26"/>
  <c r="M65" i="26"/>
  <c r="K65" i="26"/>
  <c r="H65" i="26"/>
  <c r="I65" i="26"/>
  <c r="G65" i="26"/>
  <c r="N65" i="26"/>
  <c r="U133" i="30"/>
  <c r="V133" i="30"/>
  <c r="K133" i="30"/>
  <c r="U108" i="30"/>
  <c r="AK108" i="30" s="1"/>
  <c r="V108" i="30"/>
  <c r="AL108" i="30" s="1"/>
  <c r="K141" i="30"/>
  <c r="AI122" i="30"/>
  <c r="AI18" i="30"/>
  <c r="AF63" i="26"/>
  <c r="H75" i="26"/>
  <c r="W75" i="26" s="1"/>
  <c r="I75" i="26"/>
  <c r="X75" i="26" s="1"/>
  <c r="J75" i="26"/>
  <c r="Y75" i="26" s="1"/>
  <c r="M75" i="26"/>
  <c r="K75" i="26"/>
  <c r="G75" i="26"/>
  <c r="V75" i="26" s="1"/>
  <c r="L75" i="26"/>
  <c r="AA75" i="26" s="1"/>
  <c r="N75" i="26"/>
  <c r="O12" i="26"/>
  <c r="S12" i="26" s="1"/>
  <c r="AF21" i="26"/>
  <c r="E18" i="28"/>
  <c r="K240" i="30"/>
  <c r="L240" i="30" s="1"/>
  <c r="K149" i="30"/>
  <c r="L149" i="30" s="1"/>
  <c r="D10" i="12"/>
  <c r="J184" i="30"/>
  <c r="K211" i="30"/>
  <c r="L211" i="30" s="1"/>
  <c r="H108" i="30"/>
  <c r="G108" i="30"/>
  <c r="I108" i="30"/>
  <c r="I145" i="30"/>
  <c r="G145" i="30"/>
  <c r="H145" i="30"/>
  <c r="H156" i="30" s="1"/>
  <c r="J145" i="30"/>
  <c r="J34" i="24"/>
  <c r="I58" i="10" s="1"/>
  <c r="T258" i="30" s="1"/>
  <c r="AJ258" i="30" s="1"/>
  <c r="P63" i="32"/>
  <c r="N16" i="12" s="1"/>
  <c r="I259" i="30"/>
  <c r="J259" i="30"/>
  <c r="H259" i="30"/>
  <c r="G259" i="30"/>
  <c r="I167" i="30"/>
  <c r="H167" i="30"/>
  <c r="G167" i="30"/>
  <c r="J167" i="30"/>
  <c r="AD63" i="26"/>
  <c r="N63" i="32"/>
  <c r="L16" i="12" s="1"/>
  <c r="L8" i="12"/>
  <c r="R28" i="32"/>
  <c r="R54" i="32"/>
  <c r="P12" i="12" s="1"/>
  <c r="K28" i="28" s="1"/>
  <c r="E237" i="30"/>
  <c r="L238" i="30"/>
  <c r="L50" i="26"/>
  <c r="AA50" i="26" s="1"/>
  <c r="M50" i="26"/>
  <c r="N50" i="26"/>
  <c r="G50" i="26"/>
  <c r="V50" i="26" s="1"/>
  <c r="I50" i="26"/>
  <c r="X50" i="26" s="1"/>
  <c r="J50" i="26"/>
  <c r="Y50" i="26" s="1"/>
  <c r="K50" i="26"/>
  <c r="Z50" i="26" s="1"/>
  <c r="H50" i="26"/>
  <c r="W50" i="26" s="1"/>
  <c r="U63" i="30"/>
  <c r="K63" i="30"/>
  <c r="L63" i="30" s="1"/>
  <c r="V15" i="30"/>
  <c r="U15" i="30"/>
  <c r="K15" i="30"/>
  <c r="L15" i="30" s="1"/>
  <c r="Q131" i="30"/>
  <c r="R131" i="30"/>
  <c r="H169" i="30"/>
  <c r="G169" i="30"/>
  <c r="I169" i="30"/>
  <c r="J169" i="30"/>
  <c r="M8" i="12"/>
  <c r="R59" i="32"/>
  <c r="K8" i="12"/>
  <c r="M63" i="32"/>
  <c r="K16" i="12" s="1"/>
  <c r="O29" i="32"/>
  <c r="M10" i="12" s="1"/>
  <c r="U135" i="30"/>
  <c r="AK135" i="30" s="1"/>
  <c r="V135" i="30"/>
  <c r="AL135" i="30" s="1"/>
  <c r="K135" i="30"/>
  <c r="L135" i="30" s="1"/>
  <c r="U45" i="30"/>
  <c r="V45" i="30"/>
  <c r="O100" i="30"/>
  <c r="P100" i="30"/>
  <c r="K100" i="30"/>
  <c r="O87" i="30"/>
  <c r="P87" i="30"/>
  <c r="K87" i="30"/>
  <c r="L87" i="30" s="1"/>
  <c r="L164" i="30"/>
  <c r="J163" i="30"/>
  <c r="L63" i="32"/>
  <c r="J16" i="12" s="1"/>
  <c r="E8" i="12"/>
  <c r="G63" i="32"/>
  <c r="E16" i="12" s="1"/>
  <c r="R14" i="32"/>
  <c r="P8" i="12" s="1"/>
  <c r="I28" i="28" s="1"/>
  <c r="F63" i="32"/>
  <c r="H79" i="26"/>
  <c r="W79" i="26" s="1"/>
  <c r="I79" i="26"/>
  <c r="X79" i="26" s="1"/>
  <c r="J79" i="26"/>
  <c r="Y79" i="26" s="1"/>
  <c r="M79" i="26"/>
  <c r="K79" i="26"/>
  <c r="Z79" i="26" s="1"/>
  <c r="G79" i="26"/>
  <c r="V79" i="26" s="1"/>
  <c r="L79" i="26"/>
  <c r="AA79" i="26" s="1"/>
  <c r="N79" i="26"/>
  <c r="U112" i="30"/>
  <c r="AK112" i="30" s="1"/>
  <c r="V112" i="30"/>
  <c r="AL112" i="30" s="1"/>
  <c r="K112" i="30"/>
  <c r="L112" i="30" s="1"/>
  <c r="V94" i="30"/>
  <c r="U94" i="30"/>
  <c r="O84" i="26"/>
  <c r="AB84" i="26"/>
  <c r="S210" i="30"/>
  <c r="AD55" i="26"/>
  <c r="I71" i="26"/>
  <c r="X71" i="26" s="1"/>
  <c r="J71" i="26"/>
  <c r="Y71" i="26" s="1"/>
  <c r="L71" i="26"/>
  <c r="AA71" i="26" s="1"/>
  <c r="N71" i="26"/>
  <c r="G71" i="26"/>
  <c r="V71" i="26" s="1"/>
  <c r="H71" i="26"/>
  <c r="W71" i="26" s="1"/>
  <c r="M71" i="26"/>
  <c r="K71" i="26"/>
  <c r="H63" i="32"/>
  <c r="F16" i="12" s="1"/>
  <c r="R12" i="32"/>
  <c r="E24" i="24"/>
  <c r="N22" i="24" s="1"/>
  <c r="N9" i="24"/>
  <c r="N18" i="24"/>
  <c r="C22" i="24"/>
  <c r="V183" i="30"/>
  <c r="U183" i="30"/>
  <c r="P35" i="30"/>
  <c r="O35" i="30"/>
  <c r="O11" i="30"/>
  <c r="K11" i="30"/>
  <c r="P11" i="30"/>
  <c r="L48" i="26"/>
  <c r="M48" i="26"/>
  <c r="N48" i="26"/>
  <c r="G48" i="26"/>
  <c r="I48" i="26"/>
  <c r="J48" i="26"/>
  <c r="H48" i="26"/>
  <c r="K48" i="26"/>
  <c r="Y117" i="26"/>
  <c r="G25" i="10" s="1"/>
  <c r="Q34" i="30"/>
  <c r="R34" i="30"/>
  <c r="O135" i="30"/>
  <c r="P135" i="30"/>
  <c r="O125" i="30"/>
  <c r="P125" i="30"/>
  <c r="I159" i="30"/>
  <c r="G159" i="30"/>
  <c r="AD72" i="26"/>
  <c r="J10" i="12"/>
  <c r="V179" i="30"/>
  <c r="U180" i="30"/>
  <c r="V180" i="30"/>
  <c r="V132" i="30"/>
  <c r="U132" i="30"/>
  <c r="U104" i="30"/>
  <c r="AK104" i="30" s="1"/>
  <c r="V104" i="30"/>
  <c r="AL104" i="30" s="1"/>
  <c r="U85" i="30"/>
  <c r="V85" i="30"/>
  <c r="U42" i="30"/>
  <c r="V42" i="30"/>
  <c r="V33" i="30"/>
  <c r="U33" i="30"/>
  <c r="U11" i="30"/>
  <c r="V11" i="30"/>
  <c r="AL11" i="30" s="1"/>
  <c r="S125" i="30"/>
  <c r="AI125" i="30" s="1"/>
  <c r="T125" i="30"/>
  <c r="S112" i="30"/>
  <c r="T112" i="30"/>
  <c r="G161" i="30"/>
  <c r="H161" i="30"/>
  <c r="I161" i="30"/>
  <c r="J161" i="30"/>
  <c r="I73" i="26"/>
  <c r="X73" i="26" s="1"/>
  <c r="J73" i="26"/>
  <c r="Y73" i="26" s="1"/>
  <c r="L73" i="26"/>
  <c r="AA73" i="26" s="1"/>
  <c r="N73" i="26"/>
  <c r="G73" i="26"/>
  <c r="V73" i="26" s="1"/>
  <c r="H73" i="26"/>
  <c r="W73" i="26" s="1"/>
  <c r="K73" i="26"/>
  <c r="Z73" i="26" s="1"/>
  <c r="Q134" i="30"/>
  <c r="R134" i="30"/>
  <c r="O110" i="30"/>
  <c r="P110" i="30"/>
  <c r="G163" i="30"/>
  <c r="I163" i="30"/>
  <c r="H163" i="30"/>
  <c r="U53" i="30"/>
  <c r="V53" i="30"/>
  <c r="I165" i="30"/>
  <c r="J165" i="30"/>
  <c r="H165" i="30"/>
  <c r="C21" i="24"/>
  <c r="C24" i="24" s="1"/>
  <c r="I67" i="26"/>
  <c r="J67" i="26"/>
  <c r="L67" i="26"/>
  <c r="N67" i="26"/>
  <c r="G67" i="26"/>
  <c r="H67" i="26"/>
  <c r="M67" i="26"/>
  <c r="K67" i="26"/>
  <c r="U98" i="30"/>
  <c r="V98" i="30"/>
  <c r="Q110" i="30"/>
  <c r="AG110" i="30" s="1"/>
  <c r="R110" i="30"/>
  <c r="AH110" i="30" s="1"/>
  <c r="G165" i="30"/>
  <c r="M73" i="26"/>
  <c r="Q122" i="30"/>
  <c r="R122" i="30"/>
  <c r="V24" i="30"/>
  <c r="V16" i="30"/>
  <c r="AC117" i="26"/>
  <c r="K25" i="10" s="1"/>
  <c r="R181" i="30"/>
  <c r="R10" i="30"/>
  <c r="Q55" i="30"/>
  <c r="R55" i="30"/>
  <c r="V83" i="30"/>
  <c r="V67" i="30"/>
  <c r="U89" i="30"/>
  <c r="AK89" i="30" s="1"/>
  <c r="U44" i="30"/>
  <c r="AK44" i="30" s="1"/>
  <c r="Z117" i="26"/>
  <c r="H25" i="10" s="1"/>
  <c r="W117" i="26"/>
  <c r="E25" i="10" s="1"/>
  <c r="P122" i="30"/>
  <c r="O122" i="30"/>
  <c r="P44" i="30"/>
  <c r="O44" i="30"/>
  <c r="V123" i="30"/>
  <c r="AL123" i="30" s="1"/>
  <c r="V10" i="30"/>
  <c r="AA117" i="26"/>
  <c r="I25" i="10" s="1"/>
  <c r="O121" i="30"/>
  <c r="P121" i="30"/>
  <c r="I133" i="26"/>
  <c r="X86" i="26"/>
  <c r="X133" i="26" s="1"/>
  <c r="O85" i="26"/>
  <c r="AB117" i="26"/>
  <c r="J25" i="10" s="1"/>
  <c r="Q44" i="30"/>
  <c r="R44" i="30"/>
  <c r="O25" i="30"/>
  <c r="P25" i="30"/>
  <c r="S258" i="30"/>
  <c r="AI258" i="30" s="1"/>
  <c r="O82" i="26"/>
  <c r="Y133" i="26"/>
  <c r="X117" i="26"/>
  <c r="F25" i="10" s="1"/>
  <c r="V133" i="26"/>
  <c r="O83" i="26"/>
  <c r="P10" i="30"/>
  <c r="O86" i="26"/>
  <c r="O133" i="26" s="1"/>
  <c r="Z13" i="26"/>
  <c r="AG11" i="26"/>
  <c r="AF12" i="26"/>
  <c r="AA13" i="26"/>
  <c r="AG12" i="26"/>
  <c r="AD11" i="26"/>
  <c r="Y13" i="26"/>
  <c r="AF11" i="26"/>
  <c r="R10" i="26"/>
  <c r="O17" i="26"/>
  <c r="Y16" i="26"/>
  <c r="K231" i="30"/>
  <c r="H42" i="26"/>
  <c r="M42" i="26"/>
  <c r="I42" i="26"/>
  <c r="N42" i="26"/>
  <c r="J42" i="26"/>
  <c r="K42" i="26"/>
  <c r="G42" i="26"/>
  <c r="L42" i="26"/>
  <c r="AI136" i="30"/>
  <c r="Z133" i="26"/>
  <c r="O205" i="30" l="1"/>
  <c r="R29" i="32"/>
  <c r="P10" i="12" s="1"/>
  <c r="J28" i="28" s="1"/>
  <c r="I63" i="32"/>
  <c r="G16" i="12" s="1"/>
  <c r="O63" i="32"/>
  <c r="M16" i="12" s="1"/>
  <c r="N15" i="24"/>
  <c r="V205" i="30"/>
  <c r="Z205" i="30" s="1"/>
  <c r="L58" i="10"/>
  <c r="G15" i="20"/>
  <c r="I250" i="30"/>
  <c r="H250" i="30"/>
  <c r="E251" i="30"/>
  <c r="E22" i="28" s="1"/>
  <c r="J215" i="30"/>
  <c r="J221" i="30" s="1"/>
  <c r="K205" i="30"/>
  <c r="L205" i="30" s="1"/>
  <c r="G138" i="30"/>
  <c r="H215" i="30"/>
  <c r="H221" i="30" s="1"/>
  <c r="Q205" i="30"/>
  <c r="Y205" i="30" s="1"/>
  <c r="G215" i="30"/>
  <c r="G221" i="30" s="1"/>
  <c r="E221" i="30"/>
  <c r="AF90" i="26"/>
  <c r="AF97" i="26" s="1"/>
  <c r="AD21" i="26"/>
  <c r="AH21" i="26" s="1"/>
  <c r="AD90" i="26"/>
  <c r="Z210" i="30"/>
  <c r="Z232" i="30"/>
  <c r="AG90" i="26"/>
  <c r="Z208" i="30"/>
  <c r="Z204" i="30"/>
  <c r="Z209" i="30"/>
  <c r="L218" i="30"/>
  <c r="AH72" i="26"/>
  <c r="AI181" i="30"/>
  <c r="AI184" i="30" s="1"/>
  <c r="K17" i="28" s="1"/>
  <c r="H29" i="30"/>
  <c r="Z239" i="30"/>
  <c r="Y203" i="30"/>
  <c r="AH64" i="26"/>
  <c r="AP17" i="30"/>
  <c r="AM13" i="30"/>
  <c r="AM56" i="30"/>
  <c r="AD94" i="26"/>
  <c r="AH94" i="26" s="1"/>
  <c r="AH57" i="26"/>
  <c r="S91" i="26"/>
  <c r="W17" i="30"/>
  <c r="W56" i="30"/>
  <c r="AG34" i="26"/>
  <c r="AH34" i="26" s="1"/>
  <c r="S82" i="26"/>
  <c r="H49" i="30"/>
  <c r="I138" i="30"/>
  <c r="Y209" i="30"/>
  <c r="Z13" i="30"/>
  <c r="Y240" i="30"/>
  <c r="J49" i="30"/>
  <c r="L85" i="30"/>
  <c r="AH41" i="26"/>
  <c r="Z17" i="30"/>
  <c r="K191" i="30"/>
  <c r="L191" i="30" s="1"/>
  <c r="Z214" i="30"/>
  <c r="U27" i="30"/>
  <c r="Y232" i="30"/>
  <c r="AK27" i="30"/>
  <c r="Y23" i="30"/>
  <c r="AM26" i="30"/>
  <c r="AP63" i="30"/>
  <c r="AH51" i="26"/>
  <c r="S85" i="26"/>
  <c r="AO120" i="30"/>
  <c r="G29" i="30"/>
  <c r="J29" i="30"/>
  <c r="Y213" i="30"/>
  <c r="Y231" i="30"/>
  <c r="AP26" i="30"/>
  <c r="AG27" i="26"/>
  <c r="Z24" i="26"/>
  <c r="AH43" i="26"/>
  <c r="AH66" i="26"/>
  <c r="Y24" i="26"/>
  <c r="Z63" i="30"/>
  <c r="AH96" i="26"/>
  <c r="AP56" i="30"/>
  <c r="W13" i="30"/>
  <c r="AH53" i="26"/>
  <c r="AJ136" i="30"/>
  <c r="AH47" i="26"/>
  <c r="I221" i="30"/>
  <c r="AH76" i="26"/>
  <c r="W213" i="30"/>
  <c r="AH45" i="26"/>
  <c r="Z240" i="30"/>
  <c r="W35" i="26"/>
  <c r="AD93" i="26"/>
  <c r="AH39" i="26"/>
  <c r="W209" i="30"/>
  <c r="Z218" i="30"/>
  <c r="Y211" i="30"/>
  <c r="R97" i="26"/>
  <c r="Z233" i="30"/>
  <c r="AD18" i="26"/>
  <c r="AH18" i="26" s="1"/>
  <c r="AM23" i="30"/>
  <c r="I49" i="30"/>
  <c r="W22" i="30"/>
  <c r="S95" i="26"/>
  <c r="Z211" i="30"/>
  <c r="AG27" i="30"/>
  <c r="AH68" i="26"/>
  <c r="AP126" i="30"/>
  <c r="W127" i="30"/>
  <c r="Y56" i="30"/>
  <c r="W69" i="30"/>
  <c r="AM17" i="30"/>
  <c r="AG92" i="26"/>
  <c r="AH92" i="26" s="1"/>
  <c r="W201" i="30"/>
  <c r="AD19" i="26"/>
  <c r="S92" i="26"/>
  <c r="W18" i="30"/>
  <c r="AP13" i="30"/>
  <c r="W231" i="30"/>
  <c r="AP23" i="30"/>
  <c r="AO258" i="30"/>
  <c r="Z23" i="30"/>
  <c r="S93" i="26"/>
  <c r="AD83" i="26"/>
  <c r="AH83" i="26" s="1"/>
  <c r="W218" i="30"/>
  <c r="W219" i="30" s="1"/>
  <c r="X24" i="26"/>
  <c r="AH59" i="26"/>
  <c r="AD85" i="26"/>
  <c r="AH85" i="26" s="1"/>
  <c r="AH63" i="26"/>
  <c r="AF30" i="26"/>
  <c r="K27" i="30"/>
  <c r="L27" i="30" s="1"/>
  <c r="AA97" i="26"/>
  <c r="W239" i="30"/>
  <c r="AD81" i="26"/>
  <c r="AH81" i="26" s="1"/>
  <c r="AH74" i="26"/>
  <c r="W203" i="30"/>
  <c r="Y258" i="30"/>
  <c r="W23" i="30"/>
  <c r="AD33" i="26"/>
  <c r="S18" i="26"/>
  <c r="S81" i="26"/>
  <c r="Q219" i="30"/>
  <c r="Q97" i="26"/>
  <c r="AJ43" i="30"/>
  <c r="AJ46" i="30" s="1"/>
  <c r="T46" i="30"/>
  <c r="Z120" i="30"/>
  <c r="Y35" i="26"/>
  <c r="Y207" i="30"/>
  <c r="S96" i="26"/>
  <c r="S84" i="26"/>
  <c r="Z212" i="30"/>
  <c r="Z219" i="30"/>
  <c r="S94" i="26"/>
  <c r="Z203" i="30"/>
  <c r="AH78" i="26"/>
  <c r="J138" i="30"/>
  <c r="AH70" i="26"/>
  <c r="AJ38" i="30"/>
  <c r="AH49" i="26"/>
  <c r="AD10" i="26"/>
  <c r="AD13" i="26" s="1"/>
  <c r="AG10" i="26"/>
  <c r="AG13" i="26" s="1"/>
  <c r="Y181" i="30"/>
  <c r="W212" i="30"/>
  <c r="K184" i="30"/>
  <c r="L184" i="30" s="1"/>
  <c r="O219" i="30"/>
  <c r="Y218" i="30"/>
  <c r="Y219" i="30" s="1"/>
  <c r="AF69" i="30"/>
  <c r="Z69" i="30"/>
  <c r="Z201" i="30"/>
  <c r="G49" i="30"/>
  <c r="R27" i="30"/>
  <c r="AD117" i="26"/>
  <c r="L25" i="10" s="1"/>
  <c r="Z126" i="30"/>
  <c r="AB24" i="26"/>
  <c r="X35" i="26"/>
  <c r="AH95" i="26"/>
  <c r="Y120" i="30"/>
  <c r="W37" i="30"/>
  <c r="AH22" i="30"/>
  <c r="AM22" i="30" s="1"/>
  <c r="Z22" i="30"/>
  <c r="W207" i="30"/>
  <c r="AP73" i="30"/>
  <c r="Z207" i="30"/>
  <c r="AG86" i="26"/>
  <c r="S19" i="26"/>
  <c r="K198" i="30"/>
  <c r="L198" i="30" s="1"/>
  <c r="T136" i="30"/>
  <c r="Z26" i="30"/>
  <c r="AG67" i="30"/>
  <c r="AO67" i="30" s="1"/>
  <c r="Y67" i="30"/>
  <c r="T38" i="30"/>
  <c r="W26" i="30"/>
  <c r="AG182" i="30"/>
  <c r="AO182" i="30" s="1"/>
  <c r="Y182" i="30"/>
  <c r="S83" i="26"/>
  <c r="Q27" i="30"/>
  <c r="AF183" i="30"/>
  <c r="AF184" i="30" s="1"/>
  <c r="P184" i="30"/>
  <c r="AG133" i="26"/>
  <c r="AH80" i="26"/>
  <c r="Z56" i="30"/>
  <c r="AF127" i="30"/>
  <c r="Z127" i="30"/>
  <c r="I29" i="30"/>
  <c r="W120" i="30"/>
  <c r="S16" i="26"/>
  <c r="AF19" i="26"/>
  <c r="AP258" i="30"/>
  <c r="AL182" i="30"/>
  <c r="AP182" i="30" s="1"/>
  <c r="W182" i="30"/>
  <c r="AG36" i="30"/>
  <c r="AO36" i="30" s="1"/>
  <c r="W36" i="30"/>
  <c r="Y36" i="30"/>
  <c r="AI75" i="30"/>
  <c r="Y75" i="30"/>
  <c r="AI16" i="30"/>
  <c r="AI19" i="30" s="1"/>
  <c r="S19" i="30"/>
  <c r="Z182" i="30"/>
  <c r="AH36" i="30"/>
  <c r="Z36" i="30"/>
  <c r="AI49" i="30"/>
  <c r="K12" i="28" s="1"/>
  <c r="AF20" i="26"/>
  <c r="AD23" i="26"/>
  <c r="AH23" i="26" s="1"/>
  <c r="S31" i="26"/>
  <c r="S86" i="26"/>
  <c r="AL18" i="30"/>
  <c r="AP18" i="30" s="1"/>
  <c r="Z18" i="30"/>
  <c r="AF71" i="30"/>
  <c r="AP71" i="30" s="1"/>
  <c r="Z71" i="30"/>
  <c r="AI126" i="30"/>
  <c r="AM126" i="30" s="1"/>
  <c r="W126" i="30"/>
  <c r="AF102" i="30"/>
  <c r="AP102" i="30" s="1"/>
  <c r="Z102" i="30"/>
  <c r="AD32" i="26"/>
  <c r="Z231" i="30"/>
  <c r="W232" i="30"/>
  <c r="AB35" i="26"/>
  <c r="W211" i="30"/>
  <c r="S90" i="26"/>
  <c r="O97" i="26"/>
  <c r="AF12" i="30"/>
  <c r="Z12" i="30"/>
  <c r="W12" i="30"/>
  <c r="AL37" i="30"/>
  <c r="Z37" i="30"/>
  <c r="L24" i="30"/>
  <c r="AK152" i="30"/>
  <c r="W152" i="30"/>
  <c r="Y152" i="30"/>
  <c r="L43" i="30"/>
  <c r="K46" i="30"/>
  <c r="L46" i="30" s="1"/>
  <c r="AJ24" i="30"/>
  <c r="AJ27" i="30" s="1"/>
  <c r="T27" i="30"/>
  <c r="W75" i="30"/>
  <c r="K19" i="30"/>
  <c r="L19" i="30" s="1"/>
  <c r="W240" i="30"/>
  <c r="S20" i="26"/>
  <c r="S30" i="26"/>
  <c r="AE179" i="30"/>
  <c r="O184" i="30"/>
  <c r="Y179" i="30"/>
  <c r="AJ181" i="30"/>
  <c r="AJ184" i="30" s="1"/>
  <c r="L17" i="28" s="1"/>
  <c r="T184" i="30"/>
  <c r="AG16" i="30"/>
  <c r="Q19" i="30"/>
  <c r="Y16" i="30"/>
  <c r="AE71" i="30"/>
  <c r="W71" i="30"/>
  <c r="Y71" i="30"/>
  <c r="AH124" i="30"/>
  <c r="Z124" i="30"/>
  <c r="AL152" i="30"/>
  <c r="AP152" i="30" s="1"/>
  <c r="Z152" i="30"/>
  <c r="AL43" i="30"/>
  <c r="Z43" i="30"/>
  <c r="AI24" i="30"/>
  <c r="AI27" i="30" s="1"/>
  <c r="S27" i="30"/>
  <c r="L194" i="30"/>
  <c r="L34" i="30"/>
  <c r="K38" i="30"/>
  <c r="Z75" i="30"/>
  <c r="AK12" i="30"/>
  <c r="AO12" i="30" s="1"/>
  <c r="Y12" i="30"/>
  <c r="AD28" i="26"/>
  <c r="O38" i="26"/>
  <c r="AF77" i="30"/>
  <c r="W77" i="30"/>
  <c r="Z77" i="30"/>
  <c r="AG124" i="30"/>
  <c r="AO124" i="30" s="1"/>
  <c r="Y124" i="30"/>
  <c r="W124" i="30"/>
  <c r="AK43" i="30"/>
  <c r="W43" i="30"/>
  <c r="S49" i="30"/>
  <c r="AF14" i="30"/>
  <c r="AP14" i="30" s="1"/>
  <c r="Z14" i="30"/>
  <c r="AP75" i="30"/>
  <c r="AG28" i="26"/>
  <c r="AG183" i="30"/>
  <c r="Q184" i="30"/>
  <c r="Z73" i="30"/>
  <c r="AO22" i="30"/>
  <c r="AE14" i="30"/>
  <c r="Y14" i="30"/>
  <c r="W14" i="30"/>
  <c r="O42" i="26"/>
  <c r="O120" i="26" s="1"/>
  <c r="V35" i="26"/>
  <c r="AL96" i="30"/>
  <c r="W96" i="30"/>
  <c r="Z96" i="30"/>
  <c r="AE24" i="30"/>
  <c r="Y24" i="30"/>
  <c r="AE102" i="30"/>
  <c r="Y102" i="30"/>
  <c r="W102" i="30"/>
  <c r="AG73" i="30"/>
  <c r="Y73" i="30"/>
  <c r="W73" i="30"/>
  <c r="AJ16" i="30"/>
  <c r="AJ19" i="30" s="1"/>
  <c r="T19" i="30"/>
  <c r="M23" i="24"/>
  <c r="M19" i="24"/>
  <c r="G25" i="24"/>
  <c r="M11" i="24"/>
  <c r="M14" i="24"/>
  <c r="M10" i="24"/>
  <c r="M16" i="24"/>
  <c r="M8" i="24"/>
  <c r="M9" i="24"/>
  <c r="M7" i="24"/>
  <c r="M13" i="24"/>
  <c r="M20" i="24"/>
  <c r="M12" i="24"/>
  <c r="M17" i="24"/>
  <c r="F25" i="24"/>
  <c r="M21" i="24"/>
  <c r="M22" i="24"/>
  <c r="D25" i="24"/>
  <c r="M15" i="24"/>
  <c r="M18" i="24"/>
  <c r="AC73" i="26"/>
  <c r="AG73" i="26" s="1"/>
  <c r="R73" i="26"/>
  <c r="AK11" i="30"/>
  <c r="U19" i="30"/>
  <c r="AE135" i="30"/>
  <c r="W135" i="30"/>
  <c r="O136" i="30"/>
  <c r="Y135" i="30"/>
  <c r="AK94" i="30"/>
  <c r="Y94" i="30"/>
  <c r="W94" i="30"/>
  <c r="R63" i="32"/>
  <c r="P16" i="12" s="1"/>
  <c r="H28" i="28" s="1"/>
  <c r="D16" i="12"/>
  <c r="K87" i="26"/>
  <c r="K132" i="26" s="1"/>
  <c r="K134" i="26" s="1"/>
  <c r="Z65" i="26"/>
  <c r="Y233" i="30"/>
  <c r="W233" i="30"/>
  <c r="AE25" i="30"/>
  <c r="W25" i="30"/>
  <c r="O27" i="30"/>
  <c r="Y25" i="30"/>
  <c r="AL10" i="30"/>
  <c r="V19" i="30"/>
  <c r="AB73" i="26"/>
  <c r="AF73" i="26" s="1"/>
  <c r="Q73" i="26"/>
  <c r="AI112" i="30"/>
  <c r="W112" i="30"/>
  <c r="Y112" i="30"/>
  <c r="AK33" i="30"/>
  <c r="U38" i="30"/>
  <c r="W33" i="30"/>
  <c r="Y33" i="30"/>
  <c r="I129" i="26"/>
  <c r="X48" i="26"/>
  <c r="X129" i="26" s="1"/>
  <c r="K145" i="30"/>
  <c r="L145" i="30" s="1"/>
  <c r="G156" i="30"/>
  <c r="L123" i="30"/>
  <c r="K128" i="30"/>
  <c r="S29" i="26"/>
  <c r="AL24" i="30"/>
  <c r="V27" i="30"/>
  <c r="Z24" i="30"/>
  <c r="W24" i="30"/>
  <c r="AL53" i="30"/>
  <c r="Z53" i="30"/>
  <c r="AJ125" i="30"/>
  <c r="AJ128" i="30" s="1"/>
  <c r="T128" i="30"/>
  <c r="AL33" i="30"/>
  <c r="V38" i="30"/>
  <c r="Z33" i="30"/>
  <c r="K159" i="30"/>
  <c r="L159" i="30" s="1"/>
  <c r="G174" i="30"/>
  <c r="V48" i="26"/>
  <c r="G129" i="26"/>
  <c r="AE35" i="30"/>
  <c r="W35" i="30"/>
  <c r="O38" i="30"/>
  <c r="Y35" i="30"/>
  <c r="AB71" i="26"/>
  <c r="Q71" i="26"/>
  <c r="AF87" i="30"/>
  <c r="AP87" i="30" s="1"/>
  <c r="Z87" i="30"/>
  <c r="S259" i="30"/>
  <c r="AI259" i="30" s="1"/>
  <c r="T259" i="30"/>
  <c r="AJ259" i="30" s="1"/>
  <c r="I156" i="30"/>
  <c r="AH55" i="26"/>
  <c r="O75" i="26"/>
  <c r="Z75" i="26"/>
  <c r="L87" i="26"/>
  <c r="L132" i="26" s="1"/>
  <c r="L134" i="26" s="1"/>
  <c r="AA65" i="26"/>
  <c r="O13" i="26"/>
  <c r="W210" i="30"/>
  <c r="Y210" i="30"/>
  <c r="O54" i="26"/>
  <c r="Z54" i="26"/>
  <c r="O35" i="26"/>
  <c r="AA38" i="26"/>
  <c r="AH89" i="30"/>
  <c r="AP89" i="30" s="1"/>
  <c r="Z89" i="30"/>
  <c r="AH123" i="30"/>
  <c r="AP123" i="30" s="1"/>
  <c r="Z123" i="30"/>
  <c r="O69" i="26"/>
  <c r="Z69" i="26"/>
  <c r="G224" i="30"/>
  <c r="H224" i="30"/>
  <c r="J224" i="30"/>
  <c r="I224" i="30"/>
  <c r="E226" i="30"/>
  <c r="E20" i="28" s="1"/>
  <c r="AB77" i="26"/>
  <c r="Q77" i="26"/>
  <c r="S21" i="26"/>
  <c r="AG82" i="26"/>
  <c r="O31" i="24"/>
  <c r="N32" i="24" s="1"/>
  <c r="AK98" i="30"/>
  <c r="W98" i="30"/>
  <c r="Y98" i="30"/>
  <c r="I237" i="30"/>
  <c r="J237" i="30"/>
  <c r="G237" i="30"/>
  <c r="H237" i="30"/>
  <c r="AG30" i="26"/>
  <c r="AC35" i="26"/>
  <c r="K165" i="30"/>
  <c r="L165" i="30" s="1"/>
  <c r="AL132" i="30"/>
  <c r="V136" i="30"/>
  <c r="Z132" i="30"/>
  <c r="AC24" i="26"/>
  <c r="AB67" i="26"/>
  <c r="M137" i="26"/>
  <c r="Q67" i="26"/>
  <c r="AK53" i="30"/>
  <c r="AO53" i="30" s="1"/>
  <c r="W53" i="30"/>
  <c r="Y53" i="30"/>
  <c r="AL42" i="30"/>
  <c r="V46" i="30"/>
  <c r="Z42" i="30"/>
  <c r="AL180" i="30"/>
  <c r="AP180" i="30" s="1"/>
  <c r="Z180" i="30"/>
  <c r="I174" i="30"/>
  <c r="AC48" i="26"/>
  <c r="N129" i="26"/>
  <c r="R48" i="26"/>
  <c r="O79" i="26"/>
  <c r="AB79" i="26"/>
  <c r="AF79" i="26" s="1"/>
  <c r="Q79" i="26"/>
  <c r="AE87" i="30"/>
  <c r="W87" i="30"/>
  <c r="Y87" i="30"/>
  <c r="AB75" i="26"/>
  <c r="Q75" i="26"/>
  <c r="R24" i="26"/>
  <c r="AD22" i="26"/>
  <c r="AH22" i="26" s="1"/>
  <c r="Q133" i="26"/>
  <c r="S133" i="26" s="1"/>
  <c r="AH44" i="30"/>
  <c r="AH46" i="30" s="1"/>
  <c r="R46" i="30"/>
  <c r="AF121" i="30"/>
  <c r="P128" i="30"/>
  <c r="Z121" i="30"/>
  <c r="AF44" i="30"/>
  <c r="Z44" i="30"/>
  <c r="P46" i="30"/>
  <c r="W67" i="26"/>
  <c r="W137" i="26" s="1"/>
  <c r="H137" i="26"/>
  <c r="AE110" i="30"/>
  <c r="Y110" i="30"/>
  <c r="W110" i="30"/>
  <c r="AK42" i="30"/>
  <c r="Y42" i="30"/>
  <c r="W42" i="30"/>
  <c r="U46" i="30"/>
  <c r="AK180" i="30"/>
  <c r="Y180" i="30"/>
  <c r="W180" i="30"/>
  <c r="U184" i="30"/>
  <c r="M129" i="26"/>
  <c r="AB48" i="26"/>
  <c r="Q48" i="26"/>
  <c r="L100" i="30"/>
  <c r="K169" i="30"/>
  <c r="L169" i="30" s="1"/>
  <c r="AL15" i="30"/>
  <c r="AP15" i="30" s="1"/>
  <c r="Z15" i="30"/>
  <c r="AC50" i="26"/>
  <c r="AG50" i="26" s="1"/>
  <c r="R50" i="26"/>
  <c r="T108" i="30"/>
  <c r="AJ108" i="30" s="1"/>
  <c r="S108" i="30"/>
  <c r="AI108" i="30" s="1"/>
  <c r="AO18" i="30"/>
  <c r="K136" i="30"/>
  <c r="L136" i="30" s="1"/>
  <c r="L133" i="30"/>
  <c r="G87" i="26"/>
  <c r="G132" i="26" s="1"/>
  <c r="G134" i="26" s="1"/>
  <c r="V65" i="26"/>
  <c r="AG29" i="26"/>
  <c r="AH29" i="26" s="1"/>
  <c r="AC58" i="26"/>
  <c r="AG58" i="26" s="1"/>
  <c r="R58" i="26"/>
  <c r="Y214" i="30"/>
  <c r="W214" i="30"/>
  <c r="L202" i="30"/>
  <c r="S32" i="26"/>
  <c r="AC40" i="26"/>
  <c r="AG40" i="26" s="1"/>
  <c r="R40" i="26"/>
  <c r="A50" i="30"/>
  <c r="A51" i="30" s="1"/>
  <c r="A52" i="30" s="1"/>
  <c r="A53" i="30" s="1"/>
  <c r="A54" i="30" s="1"/>
  <c r="A55" i="30" s="1"/>
  <c r="A56" i="30" s="1"/>
  <c r="A57" i="30" s="1"/>
  <c r="C12" i="28"/>
  <c r="S27" i="26"/>
  <c r="R35" i="26"/>
  <c r="S28" i="26"/>
  <c r="Q35" i="26"/>
  <c r="I81" i="30"/>
  <c r="G81" i="30"/>
  <c r="H81" i="30"/>
  <c r="J81" i="30"/>
  <c r="AG55" i="30"/>
  <c r="W55" i="30"/>
  <c r="Y55" i="30"/>
  <c r="Y67" i="26"/>
  <c r="Y137" i="26" s="1"/>
  <c r="J137" i="26"/>
  <c r="AJ112" i="30"/>
  <c r="AP112" i="30" s="1"/>
  <c r="Z112" i="30"/>
  <c r="Y48" i="26"/>
  <c r="Y129" i="26" s="1"/>
  <c r="J129" i="26"/>
  <c r="AK45" i="30"/>
  <c r="Y45" i="30"/>
  <c r="W45" i="30"/>
  <c r="O58" i="26"/>
  <c r="AB58" i="26"/>
  <c r="AF58" i="26" s="1"/>
  <c r="Q58" i="26"/>
  <c r="E11" i="28"/>
  <c r="AL128" i="30"/>
  <c r="AP120" i="30"/>
  <c r="W38" i="26"/>
  <c r="O79" i="30"/>
  <c r="P79" i="30"/>
  <c r="A27" i="28"/>
  <c r="A28" i="28" s="1"/>
  <c r="A29" i="28" s="1"/>
  <c r="A30" i="28" s="1"/>
  <c r="A31" i="28" s="1"/>
  <c r="A32" i="28" s="1"/>
  <c r="C33" i="28"/>
  <c r="O46" i="26"/>
  <c r="Z46" i="26"/>
  <c r="AH34" i="30"/>
  <c r="R38" i="30"/>
  <c r="Z34" i="30"/>
  <c r="AL94" i="30"/>
  <c r="AP94" i="30" s="1"/>
  <c r="Z94" i="30"/>
  <c r="AD20" i="26"/>
  <c r="Y204" i="30"/>
  <c r="W204" i="30"/>
  <c r="O77" i="26"/>
  <c r="Z77" i="26"/>
  <c r="AD86" i="26"/>
  <c r="AD133" i="26" s="1"/>
  <c r="AF86" i="26"/>
  <c r="J87" i="26"/>
  <c r="J132" i="26" s="1"/>
  <c r="J134" i="26" s="1"/>
  <c r="Y65" i="26"/>
  <c r="W202" i="30"/>
  <c r="Y202" i="30"/>
  <c r="O52" i="26"/>
  <c r="AB54" i="26"/>
  <c r="Q54" i="26"/>
  <c r="X38" i="26"/>
  <c r="AG123" i="30"/>
  <c r="Y123" i="30"/>
  <c r="W123" i="30"/>
  <c r="AG17" i="26"/>
  <c r="AB69" i="26"/>
  <c r="Q69" i="26"/>
  <c r="AF16" i="26"/>
  <c r="AG44" i="30"/>
  <c r="AG46" i="30" s="1"/>
  <c r="Q46" i="30"/>
  <c r="AE121" i="30"/>
  <c r="Y121" i="30"/>
  <c r="O128" i="30"/>
  <c r="W121" i="30"/>
  <c r="AE122" i="30"/>
  <c r="Y122" i="30"/>
  <c r="W122" i="30"/>
  <c r="AL67" i="30"/>
  <c r="Z67" i="30"/>
  <c r="W67" i="30"/>
  <c r="AH122" i="30"/>
  <c r="R128" i="30"/>
  <c r="V67" i="26"/>
  <c r="G137" i="26"/>
  <c r="AM120" i="30"/>
  <c r="AL85" i="30"/>
  <c r="AP85" i="30" s="1"/>
  <c r="Z85" i="30"/>
  <c r="AF125" i="30"/>
  <c r="Z125" i="30"/>
  <c r="L129" i="26"/>
  <c r="AA48" i="26"/>
  <c r="AA129" i="26" s="1"/>
  <c r="AK183" i="30"/>
  <c r="W183" i="30"/>
  <c r="Y183" i="30"/>
  <c r="N23" i="24"/>
  <c r="N19" i="24"/>
  <c r="N14" i="24"/>
  <c r="N11" i="24"/>
  <c r="N10" i="24"/>
  <c r="N17" i="24"/>
  <c r="N13" i="24"/>
  <c r="N20" i="24"/>
  <c r="N12" i="24"/>
  <c r="N21" i="24"/>
  <c r="H25" i="24"/>
  <c r="E25" i="24"/>
  <c r="N16" i="24"/>
  <c r="N8" i="24"/>
  <c r="N7" i="24"/>
  <c r="AC71" i="26"/>
  <c r="AG71" i="26" s="1"/>
  <c r="R71" i="26"/>
  <c r="AF84" i="26"/>
  <c r="AD84" i="26"/>
  <c r="AF100" i="30"/>
  <c r="AP100" i="30" s="1"/>
  <c r="Z100" i="30"/>
  <c r="O50" i="26"/>
  <c r="AB50" i="26"/>
  <c r="AF50" i="26" s="1"/>
  <c r="Q50" i="26"/>
  <c r="O108" i="30"/>
  <c r="P108" i="30"/>
  <c r="K108" i="30"/>
  <c r="L108" i="30" s="1"/>
  <c r="S128" i="30"/>
  <c r="S138" i="30" s="1"/>
  <c r="Z133" i="30"/>
  <c r="AL133" i="30"/>
  <c r="AP133" i="30" s="1"/>
  <c r="O65" i="26"/>
  <c r="AG32" i="26"/>
  <c r="G106" i="30"/>
  <c r="H106" i="30"/>
  <c r="I106" i="30"/>
  <c r="J106" i="30"/>
  <c r="E114" i="30"/>
  <c r="AC52" i="26"/>
  <c r="AG52" i="26" s="1"/>
  <c r="R52" i="26"/>
  <c r="AD27" i="26"/>
  <c r="L24" i="24"/>
  <c r="AB40" i="26"/>
  <c r="Q40" i="26"/>
  <c r="V38" i="26"/>
  <c r="J56" i="26"/>
  <c r="Y56" i="26" s="1"/>
  <c r="L56" i="26"/>
  <c r="AA56" i="26" s="1"/>
  <c r="M56" i="26"/>
  <c r="M125" i="26" s="1"/>
  <c r="K56" i="26"/>
  <c r="K125" i="26" s="1"/>
  <c r="H56" i="26"/>
  <c r="W56" i="26" s="1"/>
  <c r="I56" i="26"/>
  <c r="X56" i="26" s="1"/>
  <c r="G56" i="26"/>
  <c r="V56" i="26" s="1"/>
  <c r="N56" i="26"/>
  <c r="N125" i="26" s="1"/>
  <c r="E125" i="26"/>
  <c r="AA35" i="26"/>
  <c r="AD17" i="26"/>
  <c r="AC46" i="26"/>
  <c r="AG46" i="26" s="1"/>
  <c r="R46" i="26"/>
  <c r="AF25" i="30"/>
  <c r="Z25" i="30"/>
  <c r="P27" i="30"/>
  <c r="P250" i="30"/>
  <c r="O250" i="30"/>
  <c r="H138" i="30"/>
  <c r="AM258" i="30"/>
  <c r="AF10" i="30"/>
  <c r="Z10" i="30"/>
  <c r="W10" i="30"/>
  <c r="P19" i="30"/>
  <c r="AL16" i="30"/>
  <c r="W16" i="30"/>
  <c r="Z16" i="30"/>
  <c r="X67" i="26"/>
  <c r="X137" i="26" s="1"/>
  <c r="I137" i="26"/>
  <c r="AK132" i="30"/>
  <c r="U136" i="30"/>
  <c r="U138" i="30" s="1"/>
  <c r="Y132" i="30"/>
  <c r="W132" i="30"/>
  <c r="AE11" i="30"/>
  <c r="Y11" i="30"/>
  <c r="O19" i="30"/>
  <c r="W11" i="30"/>
  <c r="O71" i="26"/>
  <c r="Z71" i="26"/>
  <c r="U259" i="30"/>
  <c r="AK259" i="30" s="1"/>
  <c r="V259" i="30"/>
  <c r="AL259" i="30" s="1"/>
  <c r="M87" i="26"/>
  <c r="M132" i="26" s="1"/>
  <c r="M134" i="26" s="1"/>
  <c r="AB65" i="26"/>
  <c r="Q65" i="26"/>
  <c r="AB38" i="26"/>
  <c r="Q38" i="26"/>
  <c r="S79" i="30"/>
  <c r="AI79" i="30" s="1"/>
  <c r="T79" i="30"/>
  <c r="AJ79" i="30" s="1"/>
  <c r="AH10" i="30"/>
  <c r="AH19" i="30" s="1"/>
  <c r="R19" i="30"/>
  <c r="O67" i="26"/>
  <c r="O137" i="26" s="1"/>
  <c r="Z67" i="26"/>
  <c r="Z137" i="26" s="1"/>
  <c r="K137" i="26"/>
  <c r="AG34" i="30"/>
  <c r="Y34" i="30"/>
  <c r="Q38" i="30"/>
  <c r="W34" i="30"/>
  <c r="AE44" i="30"/>
  <c r="O46" i="30"/>
  <c r="Y44" i="30"/>
  <c r="W44" i="30"/>
  <c r="AF110" i="30"/>
  <c r="AP110" i="30" s="1"/>
  <c r="Z110" i="30"/>
  <c r="AF35" i="30"/>
  <c r="P38" i="30"/>
  <c r="Z35" i="30"/>
  <c r="AK15" i="30"/>
  <c r="W15" i="30"/>
  <c r="Y15" i="30"/>
  <c r="N87" i="26"/>
  <c r="N132" i="26" s="1"/>
  <c r="AC65" i="26"/>
  <c r="R65" i="26"/>
  <c r="AH91" i="26"/>
  <c r="S250" i="30"/>
  <c r="AI250" i="30" s="1"/>
  <c r="T250" i="30"/>
  <c r="AJ250" i="30" s="1"/>
  <c r="O40" i="26"/>
  <c r="Z40" i="26"/>
  <c r="AG89" i="30"/>
  <c r="W89" i="30"/>
  <c r="Y89" i="30"/>
  <c r="AH11" i="26"/>
  <c r="W258" i="30"/>
  <c r="AF122" i="30"/>
  <c r="Z122" i="30"/>
  <c r="AL83" i="30"/>
  <c r="Z83" i="30"/>
  <c r="W83" i="30"/>
  <c r="AG122" i="30"/>
  <c r="Q128" i="30"/>
  <c r="AC67" i="26"/>
  <c r="R67" i="26"/>
  <c r="N137" i="26"/>
  <c r="AH134" i="30"/>
  <c r="AP134" i="30" s="1"/>
  <c r="Z134" i="30"/>
  <c r="O73" i="26"/>
  <c r="H174" i="30"/>
  <c r="H176" i="30" s="1"/>
  <c r="AK85" i="30"/>
  <c r="Y85" i="30"/>
  <c r="W85" i="30"/>
  <c r="AL179" i="30"/>
  <c r="Z179" i="30"/>
  <c r="V184" i="30"/>
  <c r="W179" i="30"/>
  <c r="AE125" i="30"/>
  <c r="W125" i="30"/>
  <c r="Y125" i="30"/>
  <c r="O48" i="26"/>
  <c r="Z48" i="26"/>
  <c r="Z129" i="26" s="1"/>
  <c r="K129" i="26"/>
  <c r="AF11" i="30"/>
  <c r="AP11" i="30" s="1"/>
  <c r="Z11" i="30"/>
  <c r="AL183" i="30"/>
  <c r="Z183" i="30"/>
  <c r="AE100" i="30"/>
  <c r="Y100" i="30"/>
  <c r="W100" i="30"/>
  <c r="AH131" i="30"/>
  <c r="Z131" i="30"/>
  <c r="R136" i="30"/>
  <c r="AK63" i="30"/>
  <c r="W63" i="30"/>
  <c r="Y63" i="30"/>
  <c r="O259" i="30"/>
  <c r="K259" i="30"/>
  <c r="L259" i="30" s="1"/>
  <c r="P259" i="30"/>
  <c r="Q108" i="30"/>
  <c r="AG108" i="30" s="1"/>
  <c r="R108" i="30"/>
  <c r="AH108" i="30" s="1"/>
  <c r="AK133" i="30"/>
  <c r="Y133" i="30"/>
  <c r="W133" i="30"/>
  <c r="X65" i="26"/>
  <c r="I87" i="26"/>
  <c r="I132" i="26" s="1"/>
  <c r="I134" i="26" s="1"/>
  <c r="Y208" i="30"/>
  <c r="W208" i="30"/>
  <c r="I234" i="30"/>
  <c r="G234" i="30"/>
  <c r="E244" i="30"/>
  <c r="E21" i="28" s="1"/>
  <c r="H234" i="30"/>
  <c r="J234" i="30"/>
  <c r="AF27" i="26"/>
  <c r="AB52" i="26"/>
  <c r="AF52" i="26" s="1"/>
  <c r="Q52" i="26"/>
  <c r="AC54" i="26"/>
  <c r="AG54" i="26" s="1"/>
  <c r="R54" i="26"/>
  <c r="S34" i="26"/>
  <c r="S22" i="26"/>
  <c r="AB13" i="26"/>
  <c r="AF10" i="26"/>
  <c r="Z38" i="26"/>
  <c r="AG104" i="30"/>
  <c r="W104" i="30"/>
  <c r="Y104" i="30"/>
  <c r="K79" i="30"/>
  <c r="L79" i="30" s="1"/>
  <c r="AC69" i="26"/>
  <c r="AG69" i="26" s="1"/>
  <c r="R69" i="26"/>
  <c r="J174" i="30"/>
  <c r="AC77" i="26"/>
  <c r="AG77" i="26" s="1"/>
  <c r="R77" i="26"/>
  <c r="S33" i="26"/>
  <c r="S23" i="26"/>
  <c r="R79" i="30"/>
  <c r="AH79" i="30" s="1"/>
  <c r="Q79" i="30"/>
  <c r="AG79" i="30" s="1"/>
  <c r="AF28" i="26"/>
  <c r="Z35" i="26"/>
  <c r="AD82" i="26"/>
  <c r="E91" i="30"/>
  <c r="AB46" i="26"/>
  <c r="Q46" i="26"/>
  <c r="AH181" i="30"/>
  <c r="W181" i="30"/>
  <c r="Z181" i="30"/>
  <c r="R184" i="30"/>
  <c r="AA24" i="26"/>
  <c r="AH55" i="30"/>
  <c r="AP55" i="30" s="1"/>
  <c r="Z55" i="30"/>
  <c r="AL98" i="30"/>
  <c r="AP98" i="30" s="1"/>
  <c r="Z98" i="30"/>
  <c r="AA67" i="26"/>
  <c r="AA137" i="26" s="1"/>
  <c r="L137" i="26"/>
  <c r="AG134" i="30"/>
  <c r="W134" i="30"/>
  <c r="Y134" i="30"/>
  <c r="K161" i="30"/>
  <c r="L161" i="30" s="1"/>
  <c r="AF135" i="30"/>
  <c r="P136" i="30"/>
  <c r="Z135" i="30"/>
  <c r="W48" i="26"/>
  <c r="W129" i="26" s="1"/>
  <c r="H129" i="26"/>
  <c r="L11" i="30"/>
  <c r="AC79" i="26"/>
  <c r="AG79" i="26" s="1"/>
  <c r="R79" i="26"/>
  <c r="K163" i="30"/>
  <c r="L163" i="30" s="1"/>
  <c r="E174" i="30"/>
  <c r="AL45" i="30"/>
  <c r="AP45" i="30" s="1"/>
  <c r="Z45" i="30"/>
  <c r="AG131" i="30"/>
  <c r="Q136" i="30"/>
  <c r="Y131" i="30"/>
  <c r="W131" i="30"/>
  <c r="K167" i="30"/>
  <c r="L167" i="30" s="1"/>
  <c r="R259" i="30"/>
  <c r="AH259" i="30" s="1"/>
  <c r="Q259" i="30"/>
  <c r="AG259" i="30" s="1"/>
  <c r="J156" i="30"/>
  <c r="AC75" i="26"/>
  <c r="AG75" i="26" s="1"/>
  <c r="R75" i="26"/>
  <c r="L141" i="30"/>
  <c r="H87" i="26"/>
  <c r="H132" i="26" s="1"/>
  <c r="H134" i="26" s="1"/>
  <c r="W65" i="26"/>
  <c r="AD31" i="26"/>
  <c r="AH31" i="26" s="1"/>
  <c r="U250" i="30"/>
  <c r="AK250" i="30" s="1"/>
  <c r="V250" i="30"/>
  <c r="AL250" i="30" s="1"/>
  <c r="V128" i="30"/>
  <c r="Y38" i="26"/>
  <c r="AC38" i="26"/>
  <c r="R38" i="26"/>
  <c r="AH104" i="30"/>
  <c r="AP104" i="30" s="1"/>
  <c r="Z104" i="30"/>
  <c r="AD30" i="26"/>
  <c r="AF33" i="26"/>
  <c r="V24" i="26"/>
  <c r="Q24" i="26"/>
  <c r="U79" i="30"/>
  <c r="AK79" i="30" s="1"/>
  <c r="V79" i="30"/>
  <c r="AL79" i="30" s="1"/>
  <c r="AF82" i="26"/>
  <c r="Z258" i="30"/>
  <c r="E60" i="26"/>
  <c r="V42" i="26"/>
  <c r="G120" i="26"/>
  <c r="I120" i="26"/>
  <c r="X42" i="26"/>
  <c r="L231" i="30"/>
  <c r="AF133" i="26"/>
  <c r="K120" i="26"/>
  <c r="Z42" i="26"/>
  <c r="AB42" i="26"/>
  <c r="M120" i="26"/>
  <c r="Q42" i="26"/>
  <c r="AG16" i="26"/>
  <c r="J120" i="26"/>
  <c r="Y42" i="26"/>
  <c r="H120" i="26"/>
  <c r="W42" i="26"/>
  <c r="S17" i="26"/>
  <c r="O24" i="26"/>
  <c r="AD16" i="26"/>
  <c r="AH12" i="26"/>
  <c r="L120" i="26"/>
  <c r="AA42" i="26"/>
  <c r="AC42" i="26"/>
  <c r="N120" i="26"/>
  <c r="R42" i="26"/>
  <c r="S10" i="26"/>
  <c r="S13" i="26" s="1"/>
  <c r="R13" i="26"/>
  <c r="W205" i="30" l="1"/>
  <c r="AA205" i="30" s="1"/>
  <c r="AB205" i="30" s="1"/>
  <c r="K215" i="30"/>
  <c r="L215" i="30" s="1"/>
  <c r="K250" i="30"/>
  <c r="L250" i="30" s="1"/>
  <c r="R250" i="30"/>
  <c r="AH250" i="30" s="1"/>
  <c r="Q250" i="30"/>
  <c r="AG250" i="30" s="1"/>
  <c r="AA13" i="30"/>
  <c r="AB13" i="30" s="1"/>
  <c r="AH90" i="26"/>
  <c r="AQ13" i="30"/>
  <c r="AR13" i="30" s="1"/>
  <c r="AH28" i="26"/>
  <c r="AD97" i="26"/>
  <c r="AP43" i="30"/>
  <c r="AA212" i="30"/>
  <c r="AB212" i="30" s="1"/>
  <c r="P29" i="30"/>
  <c r="AA209" i="30"/>
  <c r="AB209" i="30" s="1"/>
  <c r="H130" i="26"/>
  <c r="E63" i="10" s="1"/>
  <c r="P109" i="30" s="1"/>
  <c r="AF109" i="30" s="1"/>
  <c r="AA17" i="30"/>
  <c r="AB17" i="30" s="1"/>
  <c r="AQ26" i="30"/>
  <c r="AR26" i="30" s="1"/>
  <c r="AQ17" i="30"/>
  <c r="AR17" i="30" s="1"/>
  <c r="AJ49" i="30"/>
  <c r="L12" i="28" s="1"/>
  <c r="AH33" i="26"/>
  <c r="AA56" i="30"/>
  <c r="AB56" i="30" s="1"/>
  <c r="AA239" i="30"/>
  <c r="AB239" i="30" s="1"/>
  <c r="O129" i="26"/>
  <c r="O130" i="26" s="1"/>
  <c r="L63" i="10" s="1"/>
  <c r="AO181" i="30"/>
  <c r="AQ56" i="30"/>
  <c r="AR56" i="30" s="1"/>
  <c r="V138" i="30"/>
  <c r="R29" i="30"/>
  <c r="AA232" i="30"/>
  <c r="AB232" i="30" s="1"/>
  <c r="AA240" i="30"/>
  <c r="AB240" i="30" s="1"/>
  <c r="AH19" i="26"/>
  <c r="AQ23" i="30"/>
  <c r="AR23" i="30" s="1"/>
  <c r="AA213" i="30"/>
  <c r="AB213" i="30" s="1"/>
  <c r="AH32" i="26"/>
  <c r="T49" i="30"/>
  <c r="AP183" i="30"/>
  <c r="AJ138" i="30"/>
  <c r="L15" i="28" s="1"/>
  <c r="U29" i="30"/>
  <c r="AA18" i="30"/>
  <c r="AB18" i="30" s="1"/>
  <c r="AH93" i="26"/>
  <c r="AH97" i="26" s="1"/>
  <c r="AA22" i="30"/>
  <c r="AB22" i="30" s="1"/>
  <c r="AA69" i="30"/>
  <c r="AB69" i="30" s="1"/>
  <c r="AA126" i="30"/>
  <c r="AB126" i="30" s="1"/>
  <c r="AA207" i="30"/>
  <c r="AB207" i="30" s="1"/>
  <c r="AA201" i="30"/>
  <c r="AB201" i="30" s="1"/>
  <c r="AM18" i="30"/>
  <c r="AQ18" i="30" s="1"/>
  <c r="AR18" i="30" s="1"/>
  <c r="AA23" i="30"/>
  <c r="AB23" i="30" s="1"/>
  <c r="J125" i="26"/>
  <c r="W27" i="30"/>
  <c r="AA231" i="30"/>
  <c r="AB231" i="30" s="1"/>
  <c r="AA120" i="30"/>
  <c r="AB120" i="30" s="1"/>
  <c r="Y130" i="26"/>
  <c r="G68" i="10" s="1"/>
  <c r="AO24" i="30"/>
  <c r="AG97" i="26"/>
  <c r="AA210" i="30"/>
  <c r="AB210" i="30" s="1"/>
  <c r="AA127" i="30"/>
  <c r="AB127" i="30" s="1"/>
  <c r="S97" i="26"/>
  <c r="AA203" i="30"/>
  <c r="AB203" i="30" s="1"/>
  <c r="AA211" i="30"/>
  <c r="AB211" i="30" s="1"/>
  <c r="AA55" i="30"/>
  <c r="AB55" i="30" s="1"/>
  <c r="AP125" i="30"/>
  <c r="AA37" i="30"/>
  <c r="AB37" i="30" s="1"/>
  <c r="AI29" i="30"/>
  <c r="K11" i="28" s="1"/>
  <c r="AA12" i="30"/>
  <c r="AB12" i="30" s="1"/>
  <c r="AA43" i="30"/>
  <c r="AB43" i="30" s="1"/>
  <c r="AQ258" i="30"/>
  <c r="AR258" i="30" s="1"/>
  <c r="AH128" i="30"/>
  <c r="AA96" i="30"/>
  <c r="AB96" i="30" s="1"/>
  <c r="AA77" i="30"/>
  <c r="AB77" i="30" s="1"/>
  <c r="Y125" i="26"/>
  <c r="W125" i="26"/>
  <c r="AA204" i="30"/>
  <c r="AB204" i="30" s="1"/>
  <c r="AA233" i="30"/>
  <c r="AB233" i="30" s="1"/>
  <c r="AA218" i="30"/>
  <c r="AH133" i="26"/>
  <c r="AA83" i="30"/>
  <c r="AB83" i="30" s="1"/>
  <c r="AA16" i="30"/>
  <c r="AB16" i="30" s="1"/>
  <c r="AH20" i="26"/>
  <c r="J130" i="26"/>
  <c r="G63" i="10" s="1"/>
  <c r="R109" i="30" s="1"/>
  <c r="AH109" i="30" s="1"/>
  <c r="T138" i="30"/>
  <c r="K29" i="30"/>
  <c r="L29" i="30" s="1"/>
  <c r="AH10" i="26"/>
  <c r="AH13" i="26" s="1"/>
  <c r="AA258" i="30"/>
  <c r="AB258" i="30" s="1"/>
  <c r="P49" i="30"/>
  <c r="AA45" i="30"/>
  <c r="AB45" i="30" s="1"/>
  <c r="X138" i="26"/>
  <c r="F70" i="10" s="1"/>
  <c r="AA14" i="30"/>
  <c r="AB14" i="30" s="1"/>
  <c r="K130" i="26"/>
  <c r="H63" i="10" s="1"/>
  <c r="S109" i="30" s="1"/>
  <c r="AI109" i="30" s="1"/>
  <c r="AA94" i="30"/>
  <c r="AB94" i="30" s="1"/>
  <c r="AA36" i="30"/>
  <c r="AB36" i="30" s="1"/>
  <c r="W87" i="26"/>
  <c r="W132" i="26" s="1"/>
  <c r="W134" i="26" s="1"/>
  <c r="AD40" i="26"/>
  <c r="AL19" i="30"/>
  <c r="AM69" i="30"/>
  <c r="AP69" i="30"/>
  <c r="S67" i="26"/>
  <c r="K81" i="30"/>
  <c r="L81" i="30" s="1"/>
  <c r="AD75" i="26"/>
  <c r="Y27" i="30"/>
  <c r="AA182" i="30"/>
  <c r="AB182" i="30" s="1"/>
  <c r="AA63" i="30"/>
  <c r="AB63" i="30" s="1"/>
  <c r="AD77" i="26"/>
  <c r="AA208" i="30"/>
  <c r="AB208" i="30" s="1"/>
  <c r="AM127" i="30"/>
  <c r="AP127" i="30"/>
  <c r="AF13" i="26"/>
  <c r="I135" i="26"/>
  <c r="F57" i="10" s="1"/>
  <c r="Q168" i="30" s="1"/>
  <c r="AG168" i="30" s="1"/>
  <c r="Z130" i="26"/>
  <c r="H68" i="10" s="1"/>
  <c r="AA122" i="30"/>
  <c r="AB122" i="30" s="1"/>
  <c r="K138" i="26"/>
  <c r="H64" i="10" s="1"/>
  <c r="AA214" i="30"/>
  <c r="AB214" i="30" s="1"/>
  <c r="AA75" i="30"/>
  <c r="AB75" i="30" s="1"/>
  <c r="AA152" i="30"/>
  <c r="AB152" i="30" s="1"/>
  <c r="S75" i="26"/>
  <c r="R49" i="30"/>
  <c r="J176" i="30"/>
  <c r="AA125" i="30"/>
  <c r="AB125" i="30" s="1"/>
  <c r="AA123" i="30"/>
  <c r="AB123" i="30" s="1"/>
  <c r="AG184" i="30"/>
  <c r="J17" i="28" s="1"/>
  <c r="AA26" i="30"/>
  <c r="AB26" i="30" s="1"/>
  <c r="AD54" i="26"/>
  <c r="AM182" i="30"/>
  <c r="AQ182" i="30" s="1"/>
  <c r="AR182" i="30" s="1"/>
  <c r="AF24" i="26"/>
  <c r="AF69" i="26"/>
  <c r="AH16" i="26"/>
  <c r="AG38" i="26"/>
  <c r="AG128" i="30"/>
  <c r="X125" i="26"/>
  <c r="AH30" i="26"/>
  <c r="I176" i="30"/>
  <c r="AA24" i="30"/>
  <c r="AB24" i="30" s="1"/>
  <c r="H135" i="26"/>
  <c r="E57" i="10" s="1"/>
  <c r="P161" i="30" s="1"/>
  <c r="AF161" i="30" s="1"/>
  <c r="AD73" i="26"/>
  <c r="AH73" i="26" s="1"/>
  <c r="Q29" i="30"/>
  <c r="Q138" i="30"/>
  <c r="K106" i="30"/>
  <c r="L106" i="30" s="1"/>
  <c r="AJ29" i="30"/>
  <c r="L11" i="28" s="1"/>
  <c r="AM43" i="30"/>
  <c r="AP22" i="30"/>
  <c r="AQ22" i="30" s="1"/>
  <c r="AR22" i="30" s="1"/>
  <c r="AH27" i="30"/>
  <c r="AH29" i="30" s="1"/>
  <c r="AA104" i="30"/>
  <c r="AB104" i="30" s="1"/>
  <c r="Q120" i="26"/>
  <c r="I138" i="26"/>
  <c r="F64" i="10" s="1"/>
  <c r="R138" i="30"/>
  <c r="W128" i="30"/>
  <c r="AF54" i="26"/>
  <c r="AM44" i="30"/>
  <c r="K138" i="30"/>
  <c r="L138" i="30" s="1"/>
  <c r="S29" i="30"/>
  <c r="AP122" i="30"/>
  <c r="Z138" i="26"/>
  <c r="H70" i="10" s="1"/>
  <c r="AA202" i="30"/>
  <c r="AB202" i="30" s="1"/>
  <c r="AO71" i="30"/>
  <c r="AM71" i="30"/>
  <c r="AO179" i="30"/>
  <c r="AE184" i="30"/>
  <c r="I17" i="28" s="1"/>
  <c r="AP37" i="30"/>
  <c r="AM37" i="30"/>
  <c r="AM36" i="30"/>
  <c r="AP36" i="30"/>
  <c r="Z128" i="30"/>
  <c r="AM14" i="30"/>
  <c r="AO14" i="30"/>
  <c r="AA183" i="30"/>
  <c r="AB183" i="30" s="1"/>
  <c r="AD46" i="26"/>
  <c r="Y184" i="30"/>
  <c r="AO73" i="30"/>
  <c r="AM73" i="30"/>
  <c r="AP96" i="30"/>
  <c r="AM96" i="30"/>
  <c r="AO43" i="30"/>
  <c r="AO75" i="30"/>
  <c r="AM75" i="30"/>
  <c r="AA73" i="30"/>
  <c r="AB73" i="30" s="1"/>
  <c r="L38" i="30"/>
  <c r="K49" i="30"/>
  <c r="L49" i="30" s="1"/>
  <c r="AA71" i="30"/>
  <c r="AB71" i="30" s="1"/>
  <c r="S52" i="26"/>
  <c r="AD79" i="26"/>
  <c r="AH79" i="26" s="1"/>
  <c r="AD52" i="26"/>
  <c r="AH52" i="26" s="1"/>
  <c r="AD50" i="26"/>
  <c r="AH50" i="26" s="1"/>
  <c r="AA102" i="30"/>
  <c r="AB102" i="30" s="1"/>
  <c r="AO16" i="30"/>
  <c r="AG19" i="30"/>
  <c r="AG29" i="30" s="1"/>
  <c r="J11" i="28" s="1"/>
  <c r="AP12" i="30"/>
  <c r="AM12" i="30"/>
  <c r="AA98" i="30"/>
  <c r="AB98" i="30" s="1"/>
  <c r="AA181" i="30"/>
  <c r="AB181" i="30" s="1"/>
  <c r="R87" i="26"/>
  <c r="Q49" i="30"/>
  <c r="AD71" i="26"/>
  <c r="W19" i="30"/>
  <c r="G138" i="26"/>
  <c r="D64" i="10" s="1"/>
  <c r="AH86" i="26"/>
  <c r="AG35" i="26"/>
  <c r="I130" i="26"/>
  <c r="F63" i="10" s="1"/>
  <c r="Q109" i="30" s="1"/>
  <c r="AG109" i="30" s="1"/>
  <c r="AM102" i="30"/>
  <c r="AO102" i="30"/>
  <c r="AP77" i="30"/>
  <c r="AM77" i="30"/>
  <c r="AA124" i="30"/>
  <c r="AB124" i="30" s="1"/>
  <c r="AD35" i="26"/>
  <c r="AA110" i="30"/>
  <c r="AB110" i="30" s="1"/>
  <c r="S54" i="26"/>
  <c r="S58" i="26"/>
  <c r="AA44" i="30"/>
  <c r="AB44" i="30" s="1"/>
  <c r="Z27" i="30"/>
  <c r="AA87" i="26"/>
  <c r="AA132" i="26" s="1"/>
  <c r="AA134" i="26" s="1"/>
  <c r="T29" i="30"/>
  <c r="AM124" i="30"/>
  <c r="AP124" i="30"/>
  <c r="AO152" i="30"/>
  <c r="AM152" i="30"/>
  <c r="AO126" i="30"/>
  <c r="AQ126" i="30" s="1"/>
  <c r="AR126" i="30" s="1"/>
  <c r="AI128" i="30"/>
  <c r="AI138" i="30" s="1"/>
  <c r="K15" i="28" s="1"/>
  <c r="P234" i="30"/>
  <c r="O234" i="30"/>
  <c r="G125" i="26"/>
  <c r="P237" i="30"/>
  <c r="O237" i="30"/>
  <c r="AB137" i="26"/>
  <c r="AF67" i="26"/>
  <c r="AF71" i="26"/>
  <c r="N134" i="26"/>
  <c r="M135" i="26" s="1"/>
  <c r="J57" i="10" s="1"/>
  <c r="R132" i="26"/>
  <c r="AF250" i="30"/>
  <c r="G32" i="24"/>
  <c r="K32" i="24"/>
  <c r="H32" i="24"/>
  <c r="G46" i="10" s="1"/>
  <c r="L32" i="24"/>
  <c r="K46" i="10" s="1"/>
  <c r="I32" i="24"/>
  <c r="C32" i="24"/>
  <c r="J32" i="24"/>
  <c r="I46" i="10" s="1"/>
  <c r="O32" i="24"/>
  <c r="E32" i="24"/>
  <c r="F32" i="24"/>
  <c r="E46" i="10" s="1"/>
  <c r="M32" i="24"/>
  <c r="D32" i="24"/>
  <c r="K135" i="26"/>
  <c r="H57" i="10" s="1"/>
  <c r="L135" i="26"/>
  <c r="I57" i="10" s="1"/>
  <c r="K174" i="30"/>
  <c r="L174" i="30" s="1"/>
  <c r="AM112" i="30"/>
  <c r="AO112" i="30"/>
  <c r="AO135" i="30"/>
  <c r="AE136" i="30"/>
  <c r="AM135" i="30"/>
  <c r="R120" i="26"/>
  <c r="Y136" i="30"/>
  <c r="S46" i="26"/>
  <c r="AF35" i="26"/>
  <c r="AH27" i="26"/>
  <c r="AM63" i="30"/>
  <c r="AO63" i="30"/>
  <c r="AO125" i="30"/>
  <c r="AM125" i="30"/>
  <c r="S65" i="26"/>
  <c r="AF19" i="30"/>
  <c r="AM10" i="30"/>
  <c r="AP10" i="30"/>
  <c r="O56" i="26"/>
  <c r="O125" i="26" s="1"/>
  <c r="Z56" i="26"/>
  <c r="Z125" i="26" s="1"/>
  <c r="AF40" i="26"/>
  <c r="AA67" i="30"/>
  <c r="AB67" i="30" s="1"/>
  <c r="AO121" i="30"/>
  <c r="AM121" i="30"/>
  <c r="AE128" i="30"/>
  <c r="J138" i="26"/>
  <c r="G64" i="10" s="1"/>
  <c r="Q81" i="30"/>
  <c r="AG81" i="30" s="1"/>
  <c r="R81" i="30"/>
  <c r="AH81" i="30" s="1"/>
  <c r="C13" i="28"/>
  <c r="A58" i="30"/>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D65" i="26"/>
  <c r="V87" i="26"/>
  <c r="V132" i="26" s="1"/>
  <c r="V134" i="26" s="1"/>
  <c r="S50" i="26"/>
  <c r="AO180" i="30"/>
  <c r="AM180" i="30"/>
  <c r="AK184" i="30"/>
  <c r="P138" i="30"/>
  <c r="AG48" i="26"/>
  <c r="AC129" i="26"/>
  <c r="V237" i="30"/>
  <c r="U237" i="30"/>
  <c r="AH82" i="26"/>
  <c r="S224" i="30"/>
  <c r="T224" i="30"/>
  <c r="AA89" i="30"/>
  <c r="AB89" i="30" s="1"/>
  <c r="O49" i="30"/>
  <c r="AA53" i="30"/>
  <c r="R137" i="26"/>
  <c r="N138" i="26"/>
  <c r="K64" i="10" s="1"/>
  <c r="AP35" i="30"/>
  <c r="AF38" i="30"/>
  <c r="AP24" i="30"/>
  <c r="AM24" i="30"/>
  <c r="AL27" i="30"/>
  <c r="AA85" i="30"/>
  <c r="AB85" i="30" s="1"/>
  <c r="AD24" i="26"/>
  <c r="AM132" i="30"/>
  <c r="AO132" i="30"/>
  <c r="AK136" i="30"/>
  <c r="AK138" i="30" s="1"/>
  <c r="H125" i="26"/>
  <c r="AL46" i="30"/>
  <c r="AP42" i="30"/>
  <c r="X130" i="26"/>
  <c r="F68" i="10" s="1"/>
  <c r="L138" i="26"/>
  <c r="I64" i="10" s="1"/>
  <c r="AF46" i="26"/>
  <c r="V234" i="30"/>
  <c r="U234" i="30"/>
  <c r="AF259" i="30"/>
  <c r="AP259" i="30" s="1"/>
  <c r="Z259" i="30"/>
  <c r="AA11" i="30"/>
  <c r="AB11" i="30" s="1"/>
  <c r="W184" i="30"/>
  <c r="AF65" i="26"/>
  <c r="AB87" i="26"/>
  <c r="AB132" i="26" s="1"/>
  <c r="O29" i="30"/>
  <c r="AD69" i="26"/>
  <c r="AB56" i="26"/>
  <c r="AB125" i="26" s="1"/>
  <c r="Q56" i="26"/>
  <c r="V106" i="30"/>
  <c r="AL106" i="30" s="1"/>
  <c r="U106" i="30"/>
  <c r="AK106" i="30" s="1"/>
  <c r="J114" i="30"/>
  <c r="AA133" i="30"/>
  <c r="AB133" i="30" s="1"/>
  <c r="N24" i="24"/>
  <c r="AP67" i="30"/>
  <c r="AM67" i="30"/>
  <c r="A33" i="28"/>
  <c r="C34" i="28"/>
  <c r="AQ120" i="30"/>
  <c r="AR120" i="30" s="1"/>
  <c r="Y138" i="26"/>
  <c r="G70" i="10" s="1"/>
  <c r="P81" i="30"/>
  <c r="O81" i="30"/>
  <c r="G135" i="26"/>
  <c r="D57" i="10" s="1"/>
  <c r="AM110" i="30"/>
  <c r="AO110" i="30"/>
  <c r="AF128" i="30"/>
  <c r="AP121" i="30"/>
  <c r="AA132" i="30"/>
  <c r="AB132" i="30" s="1"/>
  <c r="U224" i="30"/>
  <c r="V224" i="30"/>
  <c r="AM53" i="30"/>
  <c r="AP53" i="30"/>
  <c r="Y38" i="30"/>
  <c r="AO25" i="30"/>
  <c r="AM25" i="30"/>
  <c r="AE27" i="30"/>
  <c r="AM11" i="30"/>
  <c r="AK19" i="30"/>
  <c r="AK29" i="30" s="1"/>
  <c r="AF38" i="26"/>
  <c r="AF108" i="30"/>
  <c r="AP108" i="30" s="1"/>
  <c r="Z108" i="30"/>
  <c r="Q87" i="26"/>
  <c r="S69" i="26"/>
  <c r="Z46" i="30"/>
  <c r="AA42" i="30"/>
  <c r="AO98" i="30"/>
  <c r="AM98" i="30"/>
  <c r="AM134" i="30"/>
  <c r="AO134" i="30"/>
  <c r="AO133" i="30"/>
  <c r="AM133" i="30"/>
  <c r="AE250" i="30"/>
  <c r="AE108" i="30"/>
  <c r="W108" i="30"/>
  <c r="Y108" i="30"/>
  <c r="O138" i="30"/>
  <c r="AA112" i="30"/>
  <c r="AB112" i="30" s="1"/>
  <c r="K237" i="30"/>
  <c r="L237" i="30" s="1"/>
  <c r="AO89" i="30"/>
  <c r="AM89" i="30"/>
  <c r="AM34" i="30"/>
  <c r="AO34" i="30"/>
  <c r="AG38" i="30"/>
  <c r="AG49" i="30" s="1"/>
  <c r="J12" i="28" s="1"/>
  <c r="O87" i="26"/>
  <c r="O132" i="26" s="1"/>
  <c r="Y128" i="30"/>
  <c r="M130" i="26"/>
  <c r="J63" i="10" s="1"/>
  <c r="U109" i="30" s="1"/>
  <c r="AK109" i="30" s="1"/>
  <c r="N130" i="26"/>
  <c r="K63" i="10" s="1"/>
  <c r="V109" i="30" s="1"/>
  <c r="AL109" i="30" s="1"/>
  <c r="R129" i="26"/>
  <c r="S24" i="26"/>
  <c r="AO131" i="30"/>
  <c r="AM131" i="30"/>
  <c r="AG136" i="30"/>
  <c r="AA138" i="26"/>
  <c r="I70" i="10" s="1"/>
  <c r="E117" i="30"/>
  <c r="K234" i="30"/>
  <c r="AA131" i="30"/>
  <c r="Z136" i="30"/>
  <c r="AM15" i="30"/>
  <c r="AO15" i="30"/>
  <c r="O138" i="26"/>
  <c r="L64" i="10" s="1"/>
  <c r="Q137" i="26"/>
  <c r="Y19" i="30"/>
  <c r="AA25" i="30"/>
  <c r="AB25" i="30" s="1"/>
  <c r="S106" i="30"/>
  <c r="AI106" i="30" s="1"/>
  <c r="T106" i="30"/>
  <c r="AJ106" i="30" s="1"/>
  <c r="I114" i="30"/>
  <c r="AO183" i="30"/>
  <c r="AM183" i="30"/>
  <c r="AO123" i="30"/>
  <c r="AM123" i="30"/>
  <c r="Y87" i="26"/>
  <c r="Y132" i="26" s="1"/>
  <c r="Y134" i="26" s="1"/>
  <c r="AA34" i="30"/>
  <c r="AB34" i="30" s="1"/>
  <c r="S81" i="30"/>
  <c r="AI81" i="30" s="1"/>
  <c r="T81" i="30"/>
  <c r="AJ81" i="30" s="1"/>
  <c r="AA15" i="30"/>
  <c r="AB15" i="30" s="1"/>
  <c r="S48" i="26"/>
  <c r="W46" i="30"/>
  <c r="H138" i="26"/>
  <c r="E64" i="10" s="1"/>
  <c r="AD58" i="26"/>
  <c r="AH58" i="26" s="1"/>
  <c r="AO87" i="30"/>
  <c r="AM87" i="30"/>
  <c r="K156" i="30"/>
  <c r="S237" i="30"/>
  <c r="T237" i="30"/>
  <c r="S77" i="26"/>
  <c r="Q224" i="30"/>
  <c r="R224" i="30"/>
  <c r="AA125" i="26"/>
  <c r="AO35" i="30"/>
  <c r="AM35" i="30"/>
  <c r="AE38" i="30"/>
  <c r="AA33" i="30"/>
  <c r="Z38" i="30"/>
  <c r="W38" i="30"/>
  <c r="S73" i="26"/>
  <c r="M24" i="24"/>
  <c r="E176" i="30"/>
  <c r="E16" i="28" s="1"/>
  <c r="M138" i="26"/>
  <c r="J64" i="10" s="1"/>
  <c r="AP135" i="30"/>
  <c r="AF136" i="30"/>
  <c r="S234" i="30"/>
  <c r="T234" i="30"/>
  <c r="AG65" i="26"/>
  <c r="AC87" i="26"/>
  <c r="AC132" i="26" s="1"/>
  <c r="AP44" i="30"/>
  <c r="AF46" i="30"/>
  <c r="W136" i="30"/>
  <c r="AM181" i="30"/>
  <c r="AP181" i="30"/>
  <c r="AH184" i="30"/>
  <c r="AG67" i="26"/>
  <c r="AC137" i="26"/>
  <c r="Z19" i="30"/>
  <c r="AA10" i="30"/>
  <c r="S71" i="26"/>
  <c r="AH17" i="26"/>
  <c r="V81" i="30"/>
  <c r="AL81" i="30" s="1"/>
  <c r="U81" i="30"/>
  <c r="AK81" i="30" s="1"/>
  <c r="AA121" i="30"/>
  <c r="AB121" i="30" s="1"/>
  <c r="AG24" i="26"/>
  <c r="AM104" i="30"/>
  <c r="AO104" i="30"/>
  <c r="S35" i="26"/>
  <c r="Q234" i="30"/>
  <c r="R234" i="30"/>
  <c r="X87" i="26"/>
  <c r="X132" i="26" s="1"/>
  <c r="X134" i="26" s="1"/>
  <c r="Y259" i="30"/>
  <c r="W259" i="30"/>
  <c r="AE259" i="30"/>
  <c r="AP131" i="30"/>
  <c r="AH136" i="30"/>
  <c r="Z184" i="30"/>
  <c r="AA179" i="30"/>
  <c r="AA134" i="30"/>
  <c r="AB134" i="30" s="1"/>
  <c r="AA35" i="30"/>
  <c r="AB35" i="30" s="1"/>
  <c r="AO44" i="30"/>
  <c r="AE46" i="30"/>
  <c r="S38" i="26"/>
  <c r="AO11" i="30"/>
  <c r="AE19" i="30"/>
  <c r="AP25" i="30"/>
  <c r="AF27" i="30"/>
  <c r="Q106" i="30"/>
  <c r="AG106" i="30" s="1"/>
  <c r="R106" i="30"/>
  <c r="AH106" i="30" s="1"/>
  <c r="H114" i="30"/>
  <c r="AA100" i="30"/>
  <c r="AB100" i="30" s="1"/>
  <c r="AA130" i="26"/>
  <c r="I68" i="10" s="1"/>
  <c r="J135" i="26"/>
  <c r="G57" i="10" s="1"/>
  <c r="AF79" i="30"/>
  <c r="AP79" i="30" s="1"/>
  <c r="Z79" i="30"/>
  <c r="AM45" i="30"/>
  <c r="AO45" i="30"/>
  <c r="S40" i="26"/>
  <c r="AF48" i="26"/>
  <c r="AB129" i="26"/>
  <c r="Y46" i="30"/>
  <c r="S79" i="26"/>
  <c r="AA180" i="30"/>
  <c r="AB180" i="30" s="1"/>
  <c r="AP132" i="30"/>
  <c r="AL136" i="30"/>
  <c r="AL138" i="30" s="1"/>
  <c r="R237" i="30"/>
  <c r="Q237" i="30"/>
  <c r="AF77" i="26"/>
  <c r="P224" i="30"/>
  <c r="O224" i="30"/>
  <c r="L125" i="26"/>
  <c r="AA87" i="30"/>
  <c r="AB87" i="30" s="1"/>
  <c r="G130" i="26"/>
  <c r="D63" i="10" s="1"/>
  <c r="O109" i="30" s="1"/>
  <c r="V49" i="30"/>
  <c r="G176" i="30"/>
  <c r="U49" i="30"/>
  <c r="AM94" i="30"/>
  <c r="AO94" i="30"/>
  <c r="AM100" i="30"/>
  <c r="AO100" i="30"/>
  <c r="AH84" i="26"/>
  <c r="AO85" i="30"/>
  <c r="AM85" i="30"/>
  <c r="E114" i="26"/>
  <c r="E119" i="26"/>
  <c r="E121" i="26" s="1"/>
  <c r="E124" i="26" s="1"/>
  <c r="E126" i="26" s="1"/>
  <c r="E140" i="26" s="1"/>
  <c r="AA135" i="30"/>
  <c r="AB135" i="30" s="1"/>
  <c r="AP179" i="30"/>
  <c r="AM179" i="30"/>
  <c r="AL184" i="30"/>
  <c r="AP83" i="30"/>
  <c r="AM83" i="30"/>
  <c r="AP16" i="30"/>
  <c r="AM16" i="30"/>
  <c r="L128" i="30"/>
  <c r="AC56" i="26"/>
  <c r="R56" i="26"/>
  <c r="V125" i="26"/>
  <c r="AD38" i="26"/>
  <c r="O106" i="30"/>
  <c r="P106" i="30"/>
  <c r="G114" i="30"/>
  <c r="L130" i="26"/>
  <c r="I63" i="10" s="1"/>
  <c r="T109" i="30" s="1"/>
  <c r="AJ109" i="30" s="1"/>
  <c r="AD67" i="26"/>
  <c r="AD137" i="26" s="1"/>
  <c r="AD138" i="26" s="1"/>
  <c r="L70" i="10" s="1"/>
  <c r="V137" i="26"/>
  <c r="V138" i="26" s="1"/>
  <c r="D70" i="10" s="1"/>
  <c r="AM122" i="30"/>
  <c r="AO122" i="30"/>
  <c r="I125" i="26"/>
  <c r="AP34" i="30"/>
  <c r="AH38" i="30"/>
  <c r="AH49" i="30" s="1"/>
  <c r="AE79" i="30"/>
  <c r="Y79" i="30"/>
  <c r="W79" i="30"/>
  <c r="AM55" i="30"/>
  <c r="AO55" i="30"/>
  <c r="AO42" i="30"/>
  <c r="AK46" i="30"/>
  <c r="AM42" i="30"/>
  <c r="AF75" i="26"/>
  <c r="K224" i="30"/>
  <c r="L224" i="30" s="1"/>
  <c r="AD48" i="26"/>
  <c r="V129" i="26"/>
  <c r="V130" i="26" s="1"/>
  <c r="D68" i="10" s="1"/>
  <c r="AP33" i="30"/>
  <c r="AL38" i="30"/>
  <c r="AO33" i="30"/>
  <c r="AK38" i="30"/>
  <c r="AM33" i="30"/>
  <c r="V29" i="30"/>
  <c r="Z87" i="26"/>
  <c r="Z132" i="26" s="1"/>
  <c r="Z134" i="26" s="1"/>
  <c r="AC120" i="26"/>
  <c r="AG42" i="26"/>
  <c r="W120" i="26"/>
  <c r="S42" i="26"/>
  <c r="Z120" i="26"/>
  <c r="X120" i="26"/>
  <c r="AA120" i="26"/>
  <c r="AB120" i="26"/>
  <c r="AF42" i="26"/>
  <c r="Y120" i="26"/>
  <c r="V120" i="26"/>
  <c r="AD42" i="26"/>
  <c r="K221" i="30" l="1"/>
  <c r="L221" i="30" s="1"/>
  <c r="W250" i="30"/>
  <c r="Z250" i="30"/>
  <c r="AP250" i="30"/>
  <c r="Y250" i="30"/>
  <c r="P165" i="30"/>
  <c r="AF165" i="30" s="1"/>
  <c r="AH71" i="26"/>
  <c r="Q129" i="26"/>
  <c r="Q130" i="26" s="1"/>
  <c r="Q149" i="30"/>
  <c r="AG149" i="30" s="1"/>
  <c r="AH77" i="26"/>
  <c r="S120" i="26"/>
  <c r="Q166" i="30"/>
  <c r="AG166" i="30" s="1"/>
  <c r="Q162" i="30"/>
  <c r="AG162" i="30" s="1"/>
  <c r="AH54" i="26"/>
  <c r="Q154" i="30"/>
  <c r="AG154" i="30" s="1"/>
  <c r="Q144" i="30"/>
  <c r="AG144" i="30" s="1"/>
  <c r="AQ124" i="30"/>
  <c r="AR124" i="30" s="1"/>
  <c r="W29" i="30"/>
  <c r="AQ104" i="30"/>
  <c r="AR104" i="30" s="1"/>
  <c r="AE49" i="30"/>
  <c r="I12" i="28" s="1"/>
  <c r="AQ15" i="30"/>
  <c r="AR15" i="30" s="1"/>
  <c r="AO27" i="30"/>
  <c r="AQ100" i="30"/>
  <c r="AR100" i="30" s="1"/>
  <c r="AQ87" i="30"/>
  <c r="AR87" i="30" s="1"/>
  <c r="AQ89" i="30"/>
  <c r="AR89" i="30" s="1"/>
  <c r="AL29" i="30"/>
  <c r="X135" i="26"/>
  <c r="F69" i="10" s="1"/>
  <c r="P166" i="30"/>
  <c r="AF166" i="30" s="1"/>
  <c r="Z29" i="30"/>
  <c r="Q171" i="30"/>
  <c r="AG171" i="30" s="1"/>
  <c r="AQ125" i="30"/>
  <c r="AR125" i="30" s="1"/>
  <c r="AQ73" i="30"/>
  <c r="AR73" i="30" s="1"/>
  <c r="Z138" i="30"/>
  <c r="P154" i="30"/>
  <c r="AF154" i="30" s="1"/>
  <c r="Q164" i="30"/>
  <c r="AG164" i="30" s="1"/>
  <c r="AQ133" i="30"/>
  <c r="AR133" i="30" s="1"/>
  <c r="AQ180" i="30"/>
  <c r="AR180" i="30" s="1"/>
  <c r="AQ37" i="30"/>
  <c r="AR37" i="30" s="1"/>
  <c r="AQ181" i="30"/>
  <c r="AR181" i="30" s="1"/>
  <c r="W49" i="30"/>
  <c r="Y29" i="30"/>
  <c r="Q150" i="30"/>
  <c r="AG150" i="30" s="1"/>
  <c r="Q143" i="30"/>
  <c r="AG143" i="30" s="1"/>
  <c r="AQ134" i="30"/>
  <c r="AR134" i="30" s="1"/>
  <c r="K114" i="30"/>
  <c r="L114" i="30" s="1"/>
  <c r="AH138" i="30"/>
  <c r="Q142" i="30"/>
  <c r="AG142" i="30" s="1"/>
  <c r="AQ71" i="30"/>
  <c r="AR71" i="30" s="1"/>
  <c r="AH69" i="26"/>
  <c r="P142" i="30"/>
  <c r="AF142" i="30" s="1"/>
  <c r="P151" i="30"/>
  <c r="AF151" i="30" s="1"/>
  <c r="P160" i="30"/>
  <c r="AF160" i="30" s="1"/>
  <c r="AQ110" i="30"/>
  <c r="AR110" i="30" s="1"/>
  <c r="P163" i="30"/>
  <c r="AF163" i="30" s="1"/>
  <c r="AQ112" i="30"/>
  <c r="AR112" i="30" s="1"/>
  <c r="P171" i="30"/>
  <c r="AF171" i="30" s="1"/>
  <c r="P159" i="30"/>
  <c r="AF159" i="30" s="1"/>
  <c r="P155" i="30"/>
  <c r="AF155" i="30" s="1"/>
  <c r="P164" i="30"/>
  <c r="AF164" i="30" s="1"/>
  <c r="AQ45" i="30"/>
  <c r="AR45" i="30" s="1"/>
  <c r="P147" i="30"/>
  <c r="AF147" i="30" s="1"/>
  <c r="P144" i="30"/>
  <c r="AF144" i="30" s="1"/>
  <c r="P170" i="30"/>
  <c r="AF170" i="30" s="1"/>
  <c r="AQ36" i="30"/>
  <c r="AR36" i="30" s="1"/>
  <c r="AB218" i="30"/>
  <c r="AA219" i="30"/>
  <c r="P149" i="30"/>
  <c r="AF149" i="30" s="1"/>
  <c r="P146" i="30"/>
  <c r="AF146" i="30" s="1"/>
  <c r="P141" i="30"/>
  <c r="AF141" i="30" s="1"/>
  <c r="P143" i="30"/>
  <c r="AF143" i="30" s="1"/>
  <c r="P238" i="30"/>
  <c r="AF238" i="30" s="1"/>
  <c r="AA27" i="30"/>
  <c r="AB27" i="30" s="1"/>
  <c r="AQ122" i="30"/>
  <c r="AR122" i="30" s="1"/>
  <c r="P150" i="30"/>
  <c r="AF150" i="30" s="1"/>
  <c r="P172" i="30"/>
  <c r="AF172" i="30" s="1"/>
  <c r="AH24" i="26"/>
  <c r="AQ75" i="30"/>
  <c r="AR75" i="30" s="1"/>
  <c r="Z135" i="26"/>
  <c r="H69" i="10" s="1"/>
  <c r="AQ132" i="30"/>
  <c r="AR132" i="30" s="1"/>
  <c r="Q238" i="30"/>
  <c r="AG238" i="30" s="1"/>
  <c r="AQ102" i="30"/>
  <c r="AR102" i="30" s="1"/>
  <c r="Y135" i="26"/>
  <c r="G69" i="10" s="1"/>
  <c r="AQ98" i="30"/>
  <c r="AR98" i="30" s="1"/>
  <c r="Q153" i="30"/>
  <c r="AG153" i="30" s="1"/>
  <c r="Q173" i="30"/>
  <c r="AG173" i="30" s="1"/>
  <c r="AF125" i="26"/>
  <c r="V135" i="26"/>
  <c r="D69" i="10" s="1"/>
  <c r="AQ12" i="30"/>
  <c r="AR12" i="30" s="1"/>
  <c r="Q161" i="30"/>
  <c r="AG161" i="30" s="1"/>
  <c r="AQ69" i="30"/>
  <c r="AR69" i="30" s="1"/>
  <c r="AH75" i="26"/>
  <c r="Q151" i="30"/>
  <c r="AG151" i="30" s="1"/>
  <c r="Q170" i="30"/>
  <c r="AG170" i="30" s="1"/>
  <c r="AG138" i="30"/>
  <c r="J15" i="28" s="1"/>
  <c r="AH40" i="26"/>
  <c r="AO128" i="30"/>
  <c r="W135" i="26"/>
  <c r="E69" i="10" s="1"/>
  <c r="AH35" i="26"/>
  <c r="AD129" i="26"/>
  <c r="AD130" i="26" s="1"/>
  <c r="L68" i="10" s="1"/>
  <c r="AO46" i="30"/>
  <c r="P145" i="30"/>
  <c r="AF145" i="30" s="1"/>
  <c r="P153" i="30"/>
  <c r="AF153" i="30" s="1"/>
  <c r="P168" i="30"/>
  <c r="AF168" i="30" s="1"/>
  <c r="Q169" i="30"/>
  <c r="AG169" i="30" s="1"/>
  <c r="Q146" i="30"/>
  <c r="AG146" i="30" s="1"/>
  <c r="Q141" i="30"/>
  <c r="AG141" i="30" s="1"/>
  <c r="AQ152" i="30"/>
  <c r="AR152" i="30" s="1"/>
  <c r="P169" i="30"/>
  <c r="AF169" i="30" s="1"/>
  <c r="AQ43" i="30"/>
  <c r="AR43" i="30" s="1"/>
  <c r="Q167" i="30"/>
  <c r="AG167" i="30" s="1"/>
  <c r="Q145" i="30"/>
  <c r="AG145" i="30" s="1"/>
  <c r="Q165" i="30"/>
  <c r="AG165" i="30" s="1"/>
  <c r="Q163" i="30"/>
  <c r="AG163" i="30" s="1"/>
  <c r="AF29" i="30"/>
  <c r="Q172" i="30"/>
  <c r="AG172" i="30" s="1"/>
  <c r="Q155" i="30"/>
  <c r="AG155" i="30" s="1"/>
  <c r="Q147" i="30"/>
  <c r="AG147" i="30" s="1"/>
  <c r="AP128" i="30"/>
  <c r="AH46" i="26"/>
  <c r="P167" i="30"/>
  <c r="AF167" i="30" s="1"/>
  <c r="AM46" i="30"/>
  <c r="P148" i="30"/>
  <c r="AF148" i="30" s="1"/>
  <c r="P173" i="30"/>
  <c r="AF173" i="30" s="1"/>
  <c r="P162" i="30"/>
  <c r="AF162" i="30" s="1"/>
  <c r="AO19" i="30"/>
  <c r="W138" i="30"/>
  <c r="Q159" i="30"/>
  <c r="AG159" i="30" s="1"/>
  <c r="Q160" i="30"/>
  <c r="AG160" i="30" s="1"/>
  <c r="Q148" i="30"/>
  <c r="AG148" i="30" s="1"/>
  <c r="AQ127" i="30"/>
  <c r="AR127" i="30" s="1"/>
  <c r="Y49" i="30"/>
  <c r="AQ55" i="30"/>
  <c r="AR55" i="30" s="1"/>
  <c r="AQ35" i="30"/>
  <c r="AR35" i="30" s="1"/>
  <c r="R125" i="26"/>
  <c r="AQ53" i="30"/>
  <c r="AR53" i="30" s="1"/>
  <c r="AQ77" i="30"/>
  <c r="AR77" i="30" s="1"/>
  <c r="AQ85" i="30"/>
  <c r="AR85" i="30" s="1"/>
  <c r="AQ94" i="30"/>
  <c r="AR94" i="30" s="1"/>
  <c r="AO136" i="30"/>
  <c r="AQ25" i="30"/>
  <c r="AR25" i="30" s="1"/>
  <c r="AF56" i="26"/>
  <c r="AE138" i="30"/>
  <c r="I15" i="28" s="1"/>
  <c r="AK49" i="30"/>
  <c r="AE29" i="30"/>
  <c r="I11" i="28" s="1"/>
  <c r="Y234" i="30"/>
  <c r="AA108" i="30"/>
  <c r="AB108" i="30" s="1"/>
  <c r="AQ67" i="30"/>
  <c r="AR67" i="30" s="1"/>
  <c r="AQ96" i="30"/>
  <c r="AR96" i="30" s="1"/>
  <c r="AQ14" i="30"/>
  <c r="AR14" i="30" s="1"/>
  <c r="AQ183" i="30"/>
  <c r="AR183" i="30" s="1"/>
  <c r="AG87" i="26"/>
  <c r="AH65" i="26"/>
  <c r="AF87" i="26"/>
  <c r="E14" i="28"/>
  <c r="E24" i="28" s="1"/>
  <c r="E270" i="30"/>
  <c r="E272" i="30" s="1"/>
  <c r="E228" i="30"/>
  <c r="S164" i="30"/>
  <c r="AI164" i="30" s="1"/>
  <c r="S170" i="30"/>
  <c r="AI170" i="30" s="1"/>
  <c r="S146" i="30"/>
  <c r="AI146" i="30" s="1"/>
  <c r="S160" i="30"/>
  <c r="AI160" i="30" s="1"/>
  <c r="S166" i="30"/>
  <c r="AI166" i="30" s="1"/>
  <c r="S148" i="30"/>
  <c r="AI148" i="30" s="1"/>
  <c r="S162" i="30"/>
  <c r="AI162" i="30" s="1"/>
  <c r="S150" i="30"/>
  <c r="AI150" i="30" s="1"/>
  <c r="S168" i="30"/>
  <c r="AI168" i="30" s="1"/>
  <c r="S144" i="30"/>
  <c r="AI144" i="30" s="1"/>
  <c r="S147" i="30"/>
  <c r="AI147" i="30" s="1"/>
  <c r="S171" i="30"/>
  <c r="AI171" i="30" s="1"/>
  <c r="S173" i="30"/>
  <c r="AI173" i="30" s="1"/>
  <c r="S149" i="30"/>
  <c r="AI149" i="30" s="1"/>
  <c r="S155" i="30"/>
  <c r="AI155" i="30" s="1"/>
  <c r="S143" i="30"/>
  <c r="AI143" i="30" s="1"/>
  <c r="S238" i="30"/>
  <c r="AI238" i="30" s="1"/>
  <c r="S141" i="30"/>
  <c r="S172" i="30"/>
  <c r="AI172" i="30" s="1"/>
  <c r="S142" i="30"/>
  <c r="AI142" i="30" s="1"/>
  <c r="S154" i="30"/>
  <c r="AI154" i="30" s="1"/>
  <c r="S153" i="30"/>
  <c r="AI153" i="30" s="1"/>
  <c r="S151" i="30"/>
  <c r="AI151" i="30" s="1"/>
  <c r="S169" i="30"/>
  <c r="AI169" i="30" s="1"/>
  <c r="S159" i="30"/>
  <c r="S161" i="30"/>
  <c r="AI161" i="30" s="1"/>
  <c r="S167" i="30"/>
  <c r="AI167" i="30" s="1"/>
  <c r="S145" i="30"/>
  <c r="AI145" i="30" s="1"/>
  <c r="S163" i="30"/>
  <c r="AI163" i="30" s="1"/>
  <c r="S165" i="30"/>
  <c r="AI165" i="30" s="1"/>
  <c r="AQ34" i="30"/>
  <c r="AR34" i="30" s="1"/>
  <c r="Y224" i="30"/>
  <c r="W224" i="30"/>
  <c r="AM184" i="30"/>
  <c r="A34" i="28"/>
  <c r="C32" i="28"/>
  <c r="AQ135" i="30"/>
  <c r="AR135" i="30" s="1"/>
  <c r="N44" i="26"/>
  <c r="K62" i="10"/>
  <c r="K20" i="10"/>
  <c r="Z237" i="30"/>
  <c r="U144" i="30"/>
  <c r="AK144" i="30" s="1"/>
  <c r="U146" i="30"/>
  <c r="AK146" i="30" s="1"/>
  <c r="U166" i="30"/>
  <c r="AK166" i="30" s="1"/>
  <c r="U172" i="30"/>
  <c r="AK172" i="30" s="1"/>
  <c r="U142" i="30"/>
  <c r="AK142" i="30" s="1"/>
  <c r="U162" i="30"/>
  <c r="AK162" i="30" s="1"/>
  <c r="U154" i="30"/>
  <c r="AK154" i="30" s="1"/>
  <c r="U170" i="30"/>
  <c r="AK170" i="30" s="1"/>
  <c r="U150" i="30"/>
  <c r="AK150" i="30" s="1"/>
  <c r="U238" i="30"/>
  <c r="AK238" i="30" s="1"/>
  <c r="U151" i="30"/>
  <c r="AK151" i="30" s="1"/>
  <c r="U153" i="30"/>
  <c r="AK153" i="30" s="1"/>
  <c r="U143" i="30"/>
  <c r="AK143" i="30" s="1"/>
  <c r="U168" i="30"/>
  <c r="AK168" i="30" s="1"/>
  <c r="U148" i="30"/>
  <c r="AK148" i="30" s="1"/>
  <c r="U164" i="30"/>
  <c r="AK164" i="30" s="1"/>
  <c r="U159" i="30"/>
  <c r="U147" i="30"/>
  <c r="AK147" i="30" s="1"/>
  <c r="U149" i="30"/>
  <c r="AK149" i="30" s="1"/>
  <c r="U173" i="30"/>
  <c r="AK173" i="30" s="1"/>
  <c r="U160" i="30"/>
  <c r="AK160" i="30" s="1"/>
  <c r="U171" i="30"/>
  <c r="AK171" i="30" s="1"/>
  <c r="U155" i="30"/>
  <c r="AK155" i="30" s="1"/>
  <c r="U141" i="30"/>
  <c r="U165" i="30"/>
  <c r="AK165" i="30" s="1"/>
  <c r="U163" i="30"/>
  <c r="AK163" i="30" s="1"/>
  <c r="U161" i="30"/>
  <c r="AK161" i="30" s="1"/>
  <c r="U169" i="30"/>
  <c r="AK169" i="30" s="1"/>
  <c r="U145" i="30"/>
  <c r="AK145" i="30" s="1"/>
  <c r="U167" i="30"/>
  <c r="AK167" i="30" s="1"/>
  <c r="O134" i="26"/>
  <c r="Q132" i="26"/>
  <c r="S132" i="26" s="1"/>
  <c r="AF137" i="26"/>
  <c r="AB138" i="26"/>
  <c r="J70" i="10" s="1"/>
  <c r="AO79" i="30"/>
  <c r="AM79" i="30"/>
  <c r="K176" i="30"/>
  <c r="S137" i="26"/>
  <c r="Q138" i="26"/>
  <c r="AQ179" i="30"/>
  <c r="AP184" i="30"/>
  <c r="AO259" i="30"/>
  <c r="AM259" i="30"/>
  <c r="Y237" i="30"/>
  <c r="W237" i="30"/>
  <c r="AO38" i="30"/>
  <c r="AF106" i="30"/>
  <c r="AP106" i="30" s="1"/>
  <c r="Z106" i="30"/>
  <c r="AQ16" i="30"/>
  <c r="AR16" i="30" s="1"/>
  <c r="Z224" i="30"/>
  <c r="W130" i="26"/>
  <c r="E68" i="10" s="1"/>
  <c r="S87" i="26"/>
  <c r="Z109" i="30"/>
  <c r="AO108" i="30"/>
  <c r="AM108" i="30"/>
  <c r="S56" i="26"/>
  <c r="AO184" i="30"/>
  <c r="H17" i="28" s="1"/>
  <c r="G17" i="28" s="1"/>
  <c r="Q125" i="26"/>
  <c r="AQ63" i="30"/>
  <c r="AR63" i="30" s="1"/>
  <c r="J44" i="26"/>
  <c r="G20" i="10"/>
  <c r="G62" i="10"/>
  <c r="AA135" i="26"/>
  <c r="I69" i="10" s="1"/>
  <c r="AF132" i="26"/>
  <c r="AB134" i="26"/>
  <c r="AF134" i="26" s="1"/>
  <c r="L44" i="26"/>
  <c r="I62" i="10"/>
  <c r="I20" i="10"/>
  <c r="A118" i="30"/>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C14" i="28"/>
  <c r="L46" i="10"/>
  <c r="L20" i="10" s="1"/>
  <c r="L45" i="10"/>
  <c r="AA128" i="30"/>
  <c r="R138" i="26"/>
  <c r="N135" i="26"/>
  <c r="K57" i="10" s="1"/>
  <c r="R134" i="26"/>
  <c r="AL49" i="30"/>
  <c r="AE106" i="30"/>
  <c r="Y106" i="30"/>
  <c r="W106" i="30"/>
  <c r="AQ83" i="30"/>
  <c r="AR83" i="30" s="1"/>
  <c r="L156" i="30"/>
  <c r="W138" i="26"/>
  <c r="E70" i="10" s="1"/>
  <c r="AA79" i="30"/>
  <c r="AB79" i="30" s="1"/>
  <c r="AB10" i="30"/>
  <c r="AA19" i="30"/>
  <c r="AQ11" i="30"/>
  <c r="AR11" i="30" s="1"/>
  <c r="AP109" i="30"/>
  <c r="AE81" i="30"/>
  <c r="Y81" i="30"/>
  <c r="W81" i="30"/>
  <c r="AA259" i="30"/>
  <c r="AB259" i="30" s="1"/>
  <c r="AM27" i="30"/>
  <c r="AP19" i="30"/>
  <c r="AQ10" i="30"/>
  <c r="H44" i="26"/>
  <c r="E20" i="10"/>
  <c r="E62" i="10"/>
  <c r="J46" i="10"/>
  <c r="J45" i="10"/>
  <c r="AD56" i="26"/>
  <c r="AD125" i="26" s="1"/>
  <c r="AH67" i="26"/>
  <c r="AC125" i="26"/>
  <c r="AG125" i="26" s="1"/>
  <c r="AG56" i="26"/>
  <c r="AP136" i="30"/>
  <c r="AQ131" i="30"/>
  <c r="T142" i="30"/>
  <c r="AJ142" i="30" s="1"/>
  <c r="T148" i="30"/>
  <c r="AJ148" i="30" s="1"/>
  <c r="T238" i="30"/>
  <c r="AJ238" i="30" s="1"/>
  <c r="T149" i="30"/>
  <c r="AJ149" i="30" s="1"/>
  <c r="T164" i="30"/>
  <c r="AJ164" i="30" s="1"/>
  <c r="T146" i="30"/>
  <c r="AJ146" i="30" s="1"/>
  <c r="T150" i="30"/>
  <c r="AJ150" i="30" s="1"/>
  <c r="T166" i="30"/>
  <c r="AJ166" i="30" s="1"/>
  <c r="T144" i="30"/>
  <c r="AJ144" i="30" s="1"/>
  <c r="T141" i="30"/>
  <c r="T172" i="30"/>
  <c r="AJ172" i="30" s="1"/>
  <c r="T159" i="30"/>
  <c r="T162" i="30"/>
  <c r="AJ162" i="30" s="1"/>
  <c r="T168" i="30"/>
  <c r="AJ168" i="30" s="1"/>
  <c r="T160" i="30"/>
  <c r="AJ160" i="30" s="1"/>
  <c r="T155" i="30"/>
  <c r="AJ155" i="30" s="1"/>
  <c r="T151" i="30"/>
  <c r="AJ151" i="30" s="1"/>
  <c r="T143" i="30"/>
  <c r="AJ143" i="30" s="1"/>
  <c r="T170" i="30"/>
  <c r="AJ170" i="30" s="1"/>
  <c r="T171" i="30"/>
  <c r="AJ171" i="30" s="1"/>
  <c r="T145" i="30"/>
  <c r="AJ145" i="30" s="1"/>
  <c r="T173" i="30"/>
  <c r="AJ173" i="30" s="1"/>
  <c r="T163" i="30"/>
  <c r="AJ163" i="30" s="1"/>
  <c r="T147" i="30"/>
  <c r="AJ147" i="30" s="1"/>
  <c r="T161" i="30"/>
  <c r="AJ161" i="30" s="1"/>
  <c r="T153" i="30"/>
  <c r="AJ153" i="30" s="1"/>
  <c r="T154" i="30"/>
  <c r="AJ154" i="30" s="1"/>
  <c r="T169" i="30"/>
  <c r="AJ169" i="30" s="1"/>
  <c r="T167" i="30"/>
  <c r="AJ167" i="30" s="1"/>
  <c r="T165" i="30"/>
  <c r="AJ165" i="30" s="1"/>
  <c r="O148" i="30"/>
  <c r="O142" i="30"/>
  <c r="O172" i="30"/>
  <c r="O166" i="30"/>
  <c r="O150" i="30"/>
  <c r="O154" i="30"/>
  <c r="O238" i="30"/>
  <c r="O147" i="30"/>
  <c r="O149" i="30"/>
  <c r="O164" i="30"/>
  <c r="O171" i="30"/>
  <c r="O146" i="30"/>
  <c r="O168" i="30"/>
  <c r="O173" i="30"/>
  <c r="O160" i="30"/>
  <c r="O153" i="30"/>
  <c r="O165" i="30"/>
  <c r="O151" i="30"/>
  <c r="O141" i="30"/>
  <c r="O144" i="30"/>
  <c r="O143" i="30"/>
  <c r="O170" i="30"/>
  <c r="O155" i="30"/>
  <c r="O162" i="30"/>
  <c r="O145" i="30"/>
  <c r="O161" i="30"/>
  <c r="O169" i="30"/>
  <c r="O163" i="30"/>
  <c r="O159" i="30"/>
  <c r="O167" i="30"/>
  <c r="H46" i="10"/>
  <c r="H45" i="10"/>
  <c r="AP38" i="30"/>
  <c r="AQ33" i="30"/>
  <c r="AB179" i="30"/>
  <c r="AA184" i="30"/>
  <c r="AB184" i="30" s="1"/>
  <c r="AQ44" i="30"/>
  <c r="AR44" i="30" s="1"/>
  <c r="Z49" i="30"/>
  <c r="AQ123" i="30"/>
  <c r="AR123" i="30" s="1"/>
  <c r="AQ121" i="30"/>
  <c r="AR121" i="30" s="1"/>
  <c r="AF81" i="30"/>
  <c r="AP81" i="30" s="1"/>
  <c r="Z81" i="30"/>
  <c r="AD87" i="26"/>
  <c r="AD132" i="26" s="1"/>
  <c r="AD134" i="26" s="1"/>
  <c r="AD135" i="26" s="1"/>
  <c r="L69" i="10" s="1"/>
  <c r="AQ24" i="30"/>
  <c r="AP27" i="30"/>
  <c r="AB53" i="30"/>
  <c r="AM19" i="30"/>
  <c r="D46" i="10"/>
  <c r="D45" i="10"/>
  <c r="F46" i="10"/>
  <c r="F45" i="10"/>
  <c r="W234" i="30"/>
  <c r="AE109" i="30"/>
  <c r="W109" i="30"/>
  <c r="Y109" i="30"/>
  <c r="AH48" i="26"/>
  <c r="AC134" i="26"/>
  <c r="AG132" i="26"/>
  <c r="L234" i="30"/>
  <c r="AB42" i="30"/>
  <c r="AA46" i="30"/>
  <c r="AB46" i="30" s="1"/>
  <c r="AP46" i="30"/>
  <c r="AQ42" i="30"/>
  <c r="AM38" i="30"/>
  <c r="AF129" i="26"/>
  <c r="R238" i="30"/>
  <c r="R144" i="30"/>
  <c r="AH144" i="30" s="1"/>
  <c r="R165" i="30"/>
  <c r="R147" i="30"/>
  <c r="AH147" i="30" s="1"/>
  <c r="R166" i="30"/>
  <c r="AH166" i="30" s="1"/>
  <c r="R146" i="30"/>
  <c r="AH146" i="30" s="1"/>
  <c r="R149" i="30"/>
  <c r="AH149" i="30" s="1"/>
  <c r="R168" i="30"/>
  <c r="AH168" i="30" s="1"/>
  <c r="R148" i="30"/>
  <c r="AH148" i="30" s="1"/>
  <c r="R151" i="30"/>
  <c r="AH151" i="30" s="1"/>
  <c r="R171" i="30"/>
  <c r="AH171" i="30" s="1"/>
  <c r="R154" i="30"/>
  <c r="AH154" i="30" s="1"/>
  <c r="R160" i="30"/>
  <c r="AH160" i="30" s="1"/>
  <c r="R161" i="30"/>
  <c r="R162" i="30"/>
  <c r="AH162" i="30" s="1"/>
  <c r="R145" i="30"/>
  <c r="AH145" i="30" s="1"/>
  <c r="R169" i="30"/>
  <c r="R170" i="30"/>
  <c r="AH170" i="30" s="1"/>
  <c r="R153" i="30"/>
  <c r="AH153" i="30" s="1"/>
  <c r="R173" i="30"/>
  <c r="AH173" i="30" s="1"/>
  <c r="R159" i="30"/>
  <c r="R142" i="30"/>
  <c r="AH142" i="30" s="1"/>
  <c r="R150" i="30"/>
  <c r="AH150" i="30" s="1"/>
  <c r="R172" i="30"/>
  <c r="AH172" i="30" s="1"/>
  <c r="R155" i="30"/>
  <c r="AH155" i="30" s="1"/>
  <c r="R164" i="30"/>
  <c r="AH164" i="30" s="1"/>
  <c r="R141" i="30"/>
  <c r="R143" i="30"/>
  <c r="AH143" i="30" s="1"/>
  <c r="R163" i="30"/>
  <c r="AH163" i="30" s="1"/>
  <c r="R167" i="30"/>
  <c r="AC138" i="26"/>
  <c r="K70" i="10" s="1"/>
  <c r="AG137" i="26"/>
  <c r="AB33" i="30"/>
  <c r="AA38" i="30"/>
  <c r="AB131" i="30"/>
  <c r="AA136" i="30"/>
  <c r="AB136" i="30" s="1"/>
  <c r="AM136" i="30"/>
  <c r="Y138" i="30"/>
  <c r="AO250" i="30"/>
  <c r="AM250" i="30"/>
  <c r="AH38" i="26"/>
  <c r="AF138" i="30"/>
  <c r="AF49" i="30"/>
  <c r="AB130" i="26"/>
  <c r="J68" i="10" s="1"/>
  <c r="AC130" i="26"/>
  <c r="K68" i="10" s="1"/>
  <c r="AG129" i="26"/>
  <c r="AM128" i="30"/>
  <c r="Z234" i="30"/>
  <c r="AF120" i="26"/>
  <c r="AG120" i="26"/>
  <c r="AD120" i="26"/>
  <c r="AH42" i="26"/>
  <c r="AA250" i="30" l="1"/>
  <c r="AB250" i="30" s="1"/>
  <c r="R130" i="26"/>
  <c r="S129" i="26"/>
  <c r="AM49" i="30"/>
  <c r="AO29" i="30"/>
  <c r="H11" i="28" s="1"/>
  <c r="G11" i="28" s="1"/>
  <c r="AG130" i="26"/>
  <c r="AO49" i="30"/>
  <c r="H12" i="28" s="1"/>
  <c r="G12" i="28" s="1"/>
  <c r="AO138" i="30"/>
  <c r="H15" i="28" s="1"/>
  <c r="G15" i="28" s="1"/>
  <c r="AA224" i="30"/>
  <c r="AB224" i="30" s="1"/>
  <c r="Q156" i="30"/>
  <c r="AG156" i="30"/>
  <c r="AG174" i="30"/>
  <c r="AQ250" i="30"/>
  <c r="AR250" i="30" s="1"/>
  <c r="P174" i="30"/>
  <c r="AP138" i="30"/>
  <c r="P156" i="30"/>
  <c r="AQ259" i="30"/>
  <c r="AR259" i="30" s="1"/>
  <c r="AQ79" i="30"/>
  <c r="AR79" i="30" s="1"/>
  <c r="Q174" i="30"/>
  <c r="AM138" i="30"/>
  <c r="AH56" i="26"/>
  <c r="AP29" i="30"/>
  <c r="AQ108" i="30"/>
  <c r="AR108" i="30" s="1"/>
  <c r="AH125" i="26"/>
  <c r="AA237" i="30"/>
  <c r="AB237" i="30" s="1"/>
  <c r="S125" i="26"/>
  <c r="AE163" i="30"/>
  <c r="Y163" i="30"/>
  <c r="Y146" i="30"/>
  <c r="AE146" i="30"/>
  <c r="AQ128" i="30"/>
  <c r="AC135" i="26"/>
  <c r="K69" i="10" s="1"/>
  <c r="AG134" i="26"/>
  <c r="G223" i="30"/>
  <c r="G61" i="30"/>
  <c r="G249" i="30"/>
  <c r="M45" i="10"/>
  <c r="G236" i="30"/>
  <c r="G65" i="30"/>
  <c r="G54" i="30"/>
  <c r="O156" i="30"/>
  <c r="AE141" i="30"/>
  <c r="Y141" i="30"/>
  <c r="AF156" i="30"/>
  <c r="Y44" i="26"/>
  <c r="Y60" i="26" s="1"/>
  <c r="Y119" i="26" s="1"/>
  <c r="Y121" i="26" s="1"/>
  <c r="Y124" i="26" s="1"/>
  <c r="Y126" i="26" s="1"/>
  <c r="Y140" i="26" s="1"/>
  <c r="G30" i="10" s="1"/>
  <c r="J60" i="26"/>
  <c r="AG138" i="26"/>
  <c r="AF130" i="26"/>
  <c r="AH129" i="26"/>
  <c r="G44" i="26"/>
  <c r="D20" i="10"/>
  <c r="M46" i="10"/>
  <c r="D62" i="10"/>
  <c r="AA81" i="30"/>
  <c r="AB81" i="30" s="1"/>
  <c r="AQ38" i="30"/>
  <c r="AR33" i="30"/>
  <c r="AE161" i="30"/>
  <c r="Y161" i="30"/>
  <c r="AE151" i="30"/>
  <c r="Y151" i="30"/>
  <c r="AE164" i="30"/>
  <c r="Y164" i="30"/>
  <c r="AE142" i="30"/>
  <c r="Y142" i="30"/>
  <c r="T156" i="30"/>
  <c r="AJ141" i="30"/>
  <c r="AJ156" i="30" s="1"/>
  <c r="M44" i="26"/>
  <c r="J20" i="10"/>
  <c r="J62" i="10"/>
  <c r="AA29" i="30"/>
  <c r="AB29" i="30" s="1"/>
  <c r="AB19" i="30"/>
  <c r="AB135" i="26"/>
  <c r="J69" i="10" s="1"/>
  <c r="AA109" i="30"/>
  <c r="AB109" i="30" s="1"/>
  <c r="E253" i="30"/>
  <c r="E267" i="30"/>
  <c r="AH141" i="30"/>
  <c r="AH156" i="30" s="1"/>
  <c r="R156" i="30"/>
  <c r="H61" i="30"/>
  <c r="H223" i="30"/>
  <c r="H249" i="30"/>
  <c r="H236" i="30"/>
  <c r="H54" i="30"/>
  <c r="H65" i="30"/>
  <c r="AE143" i="30"/>
  <c r="Y143" i="30"/>
  <c r="AE150" i="30"/>
  <c r="Y150" i="30"/>
  <c r="AK159" i="30"/>
  <c r="AK174" i="30" s="1"/>
  <c r="U174" i="30"/>
  <c r="AB38" i="30"/>
  <c r="AA49" i="30"/>
  <c r="AB49" i="30" s="1"/>
  <c r="I44" i="26"/>
  <c r="F20" i="10"/>
  <c r="F62" i="10"/>
  <c r="AE144" i="30"/>
  <c r="Y144" i="30"/>
  <c r="AE166" i="30"/>
  <c r="Y166" i="30"/>
  <c r="T174" i="30"/>
  <c r="AJ159" i="30"/>
  <c r="AJ174" i="30" s="1"/>
  <c r="AA44" i="26"/>
  <c r="AA60" i="26" s="1"/>
  <c r="AA119" i="26" s="1"/>
  <c r="AA121" i="26" s="1"/>
  <c r="AA124" i="26" s="1"/>
  <c r="AA126" i="26" s="1"/>
  <c r="AA140" i="26" s="1"/>
  <c r="I30" i="10" s="1"/>
  <c r="L60" i="26"/>
  <c r="AK141" i="30"/>
  <c r="AK156" i="30" s="1"/>
  <c r="U156" i="30"/>
  <c r="AH169" i="30"/>
  <c r="AH238" i="30"/>
  <c r="AE169" i="30"/>
  <c r="Y169" i="30"/>
  <c r="AE171" i="30"/>
  <c r="Y171" i="30"/>
  <c r="AE172" i="30"/>
  <c r="Y172" i="30"/>
  <c r="J61" i="30"/>
  <c r="J223" i="30"/>
  <c r="J236" i="30"/>
  <c r="J249" i="30"/>
  <c r="J54" i="30"/>
  <c r="J65" i="30"/>
  <c r="AO106" i="30"/>
  <c r="AM106" i="30"/>
  <c r="Q134" i="26"/>
  <c r="O135" i="26"/>
  <c r="L57" i="10" s="1"/>
  <c r="AM29" i="30"/>
  <c r="AP49" i="30"/>
  <c r="AE145" i="30"/>
  <c r="Y145" i="30"/>
  <c r="AE165" i="30"/>
  <c r="Y165" i="30"/>
  <c r="AE149" i="30"/>
  <c r="Y149" i="30"/>
  <c r="AE148" i="30"/>
  <c r="Y148" i="30"/>
  <c r="AH132" i="26"/>
  <c r="AC44" i="26"/>
  <c r="R44" i="26"/>
  <c r="R60" i="26" s="1"/>
  <c r="N60" i="26"/>
  <c r="E273" i="30"/>
  <c r="E275" i="30"/>
  <c r="E276" i="30" s="1"/>
  <c r="AH165" i="30"/>
  <c r="AR24" i="30"/>
  <c r="AQ27" i="30"/>
  <c r="AR27" i="30" s="1"/>
  <c r="AE168" i="30"/>
  <c r="Y168" i="30"/>
  <c r="AB128" i="30"/>
  <c r="AA138" i="30"/>
  <c r="AB138" i="30" s="1"/>
  <c r="AF138" i="26"/>
  <c r="AH137" i="26"/>
  <c r="AH161" i="30"/>
  <c r="AE147" i="30"/>
  <c r="Y147" i="30"/>
  <c r="AE155" i="30"/>
  <c r="Y155" i="30"/>
  <c r="W44" i="26"/>
  <c r="W60" i="26" s="1"/>
  <c r="W119" i="26" s="1"/>
  <c r="W121" i="26" s="1"/>
  <c r="W124" i="26" s="1"/>
  <c r="W126" i="26" s="1"/>
  <c r="H60" i="26"/>
  <c r="AO81" i="30"/>
  <c r="AM81" i="30"/>
  <c r="V162" i="30"/>
  <c r="AL162" i="30" s="1"/>
  <c r="AP162" i="30" s="1"/>
  <c r="V170" i="30"/>
  <c r="AL170" i="30" s="1"/>
  <c r="AP170" i="30" s="1"/>
  <c r="V171" i="30"/>
  <c r="AL171" i="30" s="1"/>
  <c r="AP171" i="30" s="1"/>
  <c r="V173" i="30"/>
  <c r="W173" i="30" s="1"/>
  <c r="V168" i="30"/>
  <c r="AL168" i="30" s="1"/>
  <c r="AP168" i="30" s="1"/>
  <c r="V172" i="30"/>
  <c r="AL172" i="30" s="1"/>
  <c r="AP172" i="30" s="1"/>
  <c r="V160" i="30"/>
  <c r="AL160" i="30" s="1"/>
  <c r="V166" i="30"/>
  <c r="AL166" i="30" s="1"/>
  <c r="AP166" i="30" s="1"/>
  <c r="V164" i="30"/>
  <c r="AL164" i="30" s="1"/>
  <c r="AP164" i="30" s="1"/>
  <c r="V238" i="30"/>
  <c r="AL238" i="30" s="1"/>
  <c r="V159" i="30"/>
  <c r="V142" i="30"/>
  <c r="AL142" i="30" s="1"/>
  <c r="AP142" i="30" s="1"/>
  <c r="V145" i="30"/>
  <c r="AL145" i="30" s="1"/>
  <c r="AP145" i="30" s="1"/>
  <c r="V144" i="30"/>
  <c r="AL144" i="30" s="1"/>
  <c r="AP144" i="30" s="1"/>
  <c r="V147" i="30"/>
  <c r="W147" i="30" s="1"/>
  <c r="V146" i="30"/>
  <c r="AL146" i="30" s="1"/>
  <c r="AP146" i="30" s="1"/>
  <c r="V150" i="30"/>
  <c r="AL150" i="30" s="1"/>
  <c r="AP150" i="30" s="1"/>
  <c r="V155" i="30"/>
  <c r="AL155" i="30" s="1"/>
  <c r="AP155" i="30" s="1"/>
  <c r="V149" i="30"/>
  <c r="AL149" i="30" s="1"/>
  <c r="AP149" i="30" s="1"/>
  <c r="V148" i="30"/>
  <c r="W148" i="30" s="1"/>
  <c r="V151" i="30"/>
  <c r="AL151" i="30" s="1"/>
  <c r="AP151" i="30" s="1"/>
  <c r="V153" i="30"/>
  <c r="AL153" i="30" s="1"/>
  <c r="AP153" i="30" s="1"/>
  <c r="V143" i="30"/>
  <c r="AL143" i="30" s="1"/>
  <c r="AP143" i="30" s="1"/>
  <c r="V154" i="30"/>
  <c r="AL154" i="30" s="1"/>
  <c r="AP154" i="30" s="1"/>
  <c r="V141" i="30"/>
  <c r="V167" i="30"/>
  <c r="AL167" i="30" s="1"/>
  <c r="V163" i="30"/>
  <c r="AL163" i="30" s="1"/>
  <c r="AP163" i="30" s="1"/>
  <c r="V161" i="30"/>
  <c r="AL161" i="30" s="1"/>
  <c r="V169" i="30"/>
  <c r="AL169" i="30" s="1"/>
  <c r="V165" i="30"/>
  <c r="AL165" i="30" s="1"/>
  <c r="C15" i="28"/>
  <c r="A139" i="30"/>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I141" i="30"/>
  <c r="AI156" i="30" s="1"/>
  <c r="S156" i="30"/>
  <c r="AE159" i="30"/>
  <c r="Y159" i="30"/>
  <c r="O174" i="30"/>
  <c r="AH120" i="26"/>
  <c r="AH167" i="30"/>
  <c r="I61" i="30"/>
  <c r="I223" i="30"/>
  <c r="I236" i="30"/>
  <c r="I249" i="30"/>
  <c r="I54" i="30"/>
  <c r="I65" i="30"/>
  <c r="AE162" i="30"/>
  <c r="Y162" i="30"/>
  <c r="AE153" i="30"/>
  <c r="Y153" i="30"/>
  <c r="R174" i="30"/>
  <c r="AH159" i="30"/>
  <c r="AO109" i="30"/>
  <c r="AM109" i="30"/>
  <c r="K44" i="26"/>
  <c r="H62" i="10"/>
  <c r="H20" i="10"/>
  <c r="Y160" i="30"/>
  <c r="AE160" i="30"/>
  <c r="AE238" i="30"/>
  <c r="AO238" i="30" s="1"/>
  <c r="Y238" i="30"/>
  <c r="AF174" i="30"/>
  <c r="AQ46" i="30"/>
  <c r="AR46" i="30" s="1"/>
  <c r="AR42" i="30"/>
  <c r="AA234" i="30"/>
  <c r="AB234" i="30" s="1"/>
  <c r="AE167" i="30"/>
  <c r="Y167" i="30"/>
  <c r="Y170" i="30"/>
  <c r="AE170" i="30"/>
  <c r="AE173" i="30"/>
  <c r="Y173" i="30"/>
  <c r="AE154" i="30"/>
  <c r="Y154" i="30"/>
  <c r="AQ136" i="30"/>
  <c r="AR136" i="30" s="1"/>
  <c r="AR131" i="30"/>
  <c r="AR10" i="30"/>
  <c r="AQ19" i="30"/>
  <c r="AA106" i="30"/>
  <c r="AB106" i="30" s="1"/>
  <c r="AR179" i="30"/>
  <c r="AQ184" i="30"/>
  <c r="AR184" i="30" s="1"/>
  <c r="C35" i="28"/>
  <c r="A35" i="28"/>
  <c r="AI159" i="30"/>
  <c r="AI174" i="30" s="1"/>
  <c r="S174" i="30"/>
  <c r="AH87" i="26"/>
  <c r="Z149" i="30" l="1"/>
  <c r="W153" i="30"/>
  <c r="Q176" i="30"/>
  <c r="W167" i="30"/>
  <c r="W238" i="30"/>
  <c r="Z153" i="30"/>
  <c r="P176" i="30"/>
  <c r="AQ81" i="30"/>
  <c r="AR81" i="30" s="1"/>
  <c r="AG176" i="30"/>
  <c r="J16" i="28" s="1"/>
  <c r="W162" i="30"/>
  <c r="W160" i="30"/>
  <c r="Z162" i="30"/>
  <c r="Z160" i="30"/>
  <c r="AQ109" i="30"/>
  <c r="AR109" i="30" s="1"/>
  <c r="AQ106" i="30"/>
  <c r="AR106" i="30" s="1"/>
  <c r="AP167" i="30"/>
  <c r="Z151" i="30"/>
  <c r="Z155" i="30"/>
  <c r="W170" i="30"/>
  <c r="Z170" i="30"/>
  <c r="AP238" i="30"/>
  <c r="Z146" i="30"/>
  <c r="W165" i="30"/>
  <c r="Z238" i="30"/>
  <c r="W154" i="30"/>
  <c r="W146" i="30"/>
  <c r="Z166" i="30"/>
  <c r="S176" i="30"/>
  <c r="AI176" i="30"/>
  <c r="K16" i="28" s="1"/>
  <c r="Z150" i="30"/>
  <c r="Z145" i="30"/>
  <c r="Z172" i="30"/>
  <c r="O176" i="30"/>
  <c r="N119" i="26"/>
  <c r="AG135" i="26"/>
  <c r="AH134" i="26"/>
  <c r="AO173" i="30"/>
  <c r="S249" i="30"/>
  <c r="AI249" i="30" s="1"/>
  <c r="T249" i="30"/>
  <c r="AJ249" i="30" s="1"/>
  <c r="Z163" i="30"/>
  <c r="W155" i="30"/>
  <c r="Z165" i="30"/>
  <c r="AG44" i="26"/>
  <c r="AG60" i="26" s="1"/>
  <c r="AC60" i="26"/>
  <c r="AC119" i="26" s="1"/>
  <c r="W145" i="30"/>
  <c r="U54" i="30"/>
  <c r="V54" i="30"/>
  <c r="J57" i="30"/>
  <c r="W171" i="30"/>
  <c r="Z169" i="30"/>
  <c r="Q236" i="30"/>
  <c r="R236" i="30"/>
  <c r="AM142" i="30"/>
  <c r="AO142" i="30"/>
  <c r="V44" i="26"/>
  <c r="O44" i="26"/>
  <c r="O60" i="26" s="1"/>
  <c r="G60" i="26"/>
  <c r="P65" i="30"/>
  <c r="O65" i="30"/>
  <c r="K65" i="30"/>
  <c r="L65" i="30" s="1"/>
  <c r="Z171" i="30"/>
  <c r="W163" i="30"/>
  <c r="AL173" i="30"/>
  <c r="AP173" i="30" s="1"/>
  <c r="Z173" i="30"/>
  <c r="AA173" i="30" s="1"/>
  <c r="AB173" i="30" s="1"/>
  <c r="AM165" i="30"/>
  <c r="AO165" i="30"/>
  <c r="AM144" i="30"/>
  <c r="AO144" i="30"/>
  <c r="S54" i="30"/>
  <c r="T54" i="30"/>
  <c r="I57" i="30"/>
  <c r="AL159" i="30"/>
  <c r="AM159" i="30" s="1"/>
  <c r="V174" i="30"/>
  <c r="Z159" i="30"/>
  <c r="U65" i="30"/>
  <c r="AK65" i="30" s="1"/>
  <c r="V65" i="30"/>
  <c r="AL65" i="30" s="1"/>
  <c r="W161" i="30"/>
  <c r="AM170" i="30"/>
  <c r="AO170" i="30"/>
  <c r="S236" i="30"/>
  <c r="T236" i="30"/>
  <c r="AL141" i="30"/>
  <c r="AP141" i="30" s="1"/>
  <c r="V156" i="30"/>
  <c r="AM155" i="30"/>
  <c r="AO155" i="30"/>
  <c r="AO147" i="30"/>
  <c r="AP165" i="30"/>
  <c r="AO148" i="30"/>
  <c r="U249" i="30"/>
  <c r="AK249" i="30" s="1"/>
  <c r="V249" i="30"/>
  <c r="AL249" i="30" s="1"/>
  <c r="AP169" i="30"/>
  <c r="W166" i="30"/>
  <c r="W150" i="30"/>
  <c r="Q249" i="30"/>
  <c r="AG249" i="30" s="1"/>
  <c r="R249" i="30"/>
  <c r="AH249" i="30" s="1"/>
  <c r="AO161" i="30"/>
  <c r="AM161" i="30"/>
  <c r="AF176" i="30"/>
  <c r="O236" i="30"/>
  <c r="P236" i="30"/>
  <c r="K236" i="30"/>
  <c r="AQ138" i="30"/>
  <c r="AR138" i="30" s="1"/>
  <c r="AR128" i="30"/>
  <c r="S65" i="30"/>
  <c r="AI65" i="30" s="1"/>
  <c r="T65" i="30"/>
  <c r="AJ65" i="30" s="1"/>
  <c r="C36" i="28"/>
  <c r="A36" i="28"/>
  <c r="W142" i="30"/>
  <c r="M20" i="10"/>
  <c r="H21" i="10" s="1"/>
  <c r="AM160" i="30"/>
  <c r="AO160" i="30"/>
  <c r="AM153" i="30"/>
  <c r="AO153" i="30"/>
  <c r="S223" i="30"/>
  <c r="T223" i="30"/>
  <c r="I226" i="30"/>
  <c r="W159" i="30"/>
  <c r="C16" i="28"/>
  <c r="A177" i="30"/>
  <c r="A178" i="30" s="1"/>
  <c r="A179" i="30" s="1"/>
  <c r="A180" i="30" s="1"/>
  <c r="A181" i="30" s="1"/>
  <c r="A182" i="30" s="1"/>
  <c r="A183" i="30" s="1"/>
  <c r="A184" i="30" s="1"/>
  <c r="Z154" i="30"/>
  <c r="Z161" i="30"/>
  <c r="W168" i="30"/>
  <c r="Z143" i="30"/>
  <c r="W149" i="30"/>
  <c r="AM145" i="30"/>
  <c r="AO145" i="30"/>
  <c r="V236" i="30"/>
  <c r="U236" i="30"/>
  <c r="AO171" i="30"/>
  <c r="AM171" i="30"/>
  <c r="X44" i="26"/>
  <c r="X60" i="26" s="1"/>
  <c r="X119" i="26" s="1"/>
  <c r="X121" i="26" s="1"/>
  <c r="X124" i="26" s="1"/>
  <c r="X126" i="26" s="1"/>
  <c r="I60" i="26"/>
  <c r="AM150" i="30"/>
  <c r="AO150" i="30"/>
  <c r="Q223" i="30"/>
  <c r="R223" i="30"/>
  <c r="H226" i="30"/>
  <c r="W164" i="30"/>
  <c r="Z144" i="30"/>
  <c r="AO163" i="30"/>
  <c r="AM163" i="30"/>
  <c r="AM151" i="30"/>
  <c r="AO151" i="30"/>
  <c r="O54" i="30"/>
  <c r="P54" i="30"/>
  <c r="K54" i="30"/>
  <c r="K57" i="30" s="1"/>
  <c r="G57" i="30"/>
  <c r="Z142" i="30"/>
  <c r="AH174" i="30"/>
  <c r="AH176" i="30" s="1"/>
  <c r="S61" i="30"/>
  <c r="AI61" i="30" s="1"/>
  <c r="T61" i="30"/>
  <c r="AJ61" i="30" s="1"/>
  <c r="I91" i="30"/>
  <c r="I117" i="30" s="1"/>
  <c r="I270" i="30" s="1"/>
  <c r="I271" i="30"/>
  <c r="AL147" i="30"/>
  <c r="AP147" i="30" s="1"/>
  <c r="Z147" i="30"/>
  <c r="AA147" i="30" s="1"/>
  <c r="AB147" i="30" s="1"/>
  <c r="AP160" i="30"/>
  <c r="AP161" i="30"/>
  <c r="AO168" i="30"/>
  <c r="AM168" i="30"/>
  <c r="U223" i="30"/>
  <c r="V223" i="30"/>
  <c r="J226" i="30"/>
  <c r="W169" i="30"/>
  <c r="U176" i="30"/>
  <c r="AO166" i="30"/>
  <c r="AM166" i="30"/>
  <c r="W143" i="30"/>
  <c r="Q61" i="30"/>
  <c r="AG61" i="30" s="1"/>
  <c r="R61" i="30"/>
  <c r="AH61" i="30" s="1"/>
  <c r="H91" i="30"/>
  <c r="H117" i="30" s="1"/>
  <c r="H270" i="30" s="1"/>
  <c r="H271" i="30"/>
  <c r="AB44" i="26"/>
  <c r="Q44" i="26"/>
  <c r="M60" i="26"/>
  <c r="AM164" i="30"/>
  <c r="AO164" i="30"/>
  <c r="AR38" i="30"/>
  <c r="AQ49" i="30"/>
  <c r="AR49" i="30" s="1"/>
  <c r="W141" i="30"/>
  <c r="O249" i="30"/>
  <c r="P249" i="30"/>
  <c r="K249" i="30"/>
  <c r="L249" i="30" s="1"/>
  <c r="AO167" i="30"/>
  <c r="AM167" i="30"/>
  <c r="Q65" i="30"/>
  <c r="AG65" i="30" s="1"/>
  <c r="R65" i="30"/>
  <c r="AH65" i="30" s="1"/>
  <c r="AO172" i="30"/>
  <c r="AM172" i="30"/>
  <c r="J119" i="26"/>
  <c r="J121" i="26" s="1"/>
  <c r="AM238" i="30"/>
  <c r="W140" i="26"/>
  <c r="E30" i="10" s="1"/>
  <c r="Y174" i="30"/>
  <c r="AM149" i="30"/>
  <c r="AO149" i="30"/>
  <c r="Z168" i="30"/>
  <c r="Q135" i="26"/>
  <c r="S134" i="26"/>
  <c r="R135" i="26"/>
  <c r="V61" i="30"/>
  <c r="AL61" i="30" s="1"/>
  <c r="U61" i="30"/>
  <c r="AK61" i="30" s="1"/>
  <c r="J271" i="30"/>
  <c r="J91" i="30"/>
  <c r="J117" i="30" s="1"/>
  <c r="J270" i="30" s="1"/>
  <c r="AK176" i="30"/>
  <c r="AJ176" i="30"/>
  <c r="L16" i="28" s="1"/>
  <c r="Y156" i="30"/>
  <c r="O61" i="30"/>
  <c r="P61" i="30"/>
  <c r="G91" i="30"/>
  <c r="G271" i="30"/>
  <c r="K61" i="30"/>
  <c r="L61" i="30" s="1"/>
  <c r="Z164" i="30"/>
  <c r="Z141" i="30"/>
  <c r="AQ29" i="30"/>
  <c r="AR29" i="30" s="1"/>
  <c r="AR19" i="30"/>
  <c r="AL148" i="30"/>
  <c r="AP148" i="30" s="1"/>
  <c r="Z148" i="30"/>
  <c r="AA148" i="30" s="1"/>
  <c r="AB148" i="30" s="1"/>
  <c r="Z44" i="26"/>
  <c r="Z60" i="26" s="1"/>
  <c r="Z119" i="26" s="1"/>
  <c r="Z121" i="26" s="1"/>
  <c r="Z124" i="26" s="1"/>
  <c r="Z126" i="26" s="1"/>
  <c r="K60" i="26"/>
  <c r="Q54" i="30"/>
  <c r="R54" i="30"/>
  <c r="H57" i="30"/>
  <c r="AO154" i="30"/>
  <c r="AM154" i="30"/>
  <c r="AM162" i="30"/>
  <c r="AO162" i="30"/>
  <c r="Z167" i="30"/>
  <c r="AO159" i="30"/>
  <c r="AE174" i="30"/>
  <c r="H119" i="26"/>
  <c r="H121" i="26" s="1"/>
  <c r="W172" i="30"/>
  <c r="AO169" i="30"/>
  <c r="AM169" i="30"/>
  <c r="L119" i="26"/>
  <c r="L121" i="26" s="1"/>
  <c r="W144" i="30"/>
  <c r="AO143" i="30"/>
  <c r="AM143" i="30"/>
  <c r="R176" i="30"/>
  <c r="T176" i="30"/>
  <c r="W151" i="30"/>
  <c r="AE156" i="30"/>
  <c r="AO141" i="30"/>
  <c r="O223" i="30"/>
  <c r="P223" i="30"/>
  <c r="G226" i="30"/>
  <c r="K223" i="30"/>
  <c r="K226" i="30" s="1"/>
  <c r="AM146" i="30"/>
  <c r="AO146" i="30"/>
  <c r="AF135" i="26"/>
  <c r="J21" i="10" l="1"/>
  <c r="J50" i="10" s="1"/>
  <c r="D21" i="10"/>
  <c r="D50" i="10" s="1"/>
  <c r="F21" i="10"/>
  <c r="F50" i="10" s="1"/>
  <c r="AA149" i="30"/>
  <c r="AB149" i="30" s="1"/>
  <c r="AA153" i="30"/>
  <c r="AB153" i="30" s="1"/>
  <c r="AA238" i="30"/>
  <c r="AB238" i="30" s="1"/>
  <c r="AA150" i="30"/>
  <c r="AB150" i="30" s="1"/>
  <c r="AA161" i="30"/>
  <c r="AB161" i="30" s="1"/>
  <c r="AA167" i="30"/>
  <c r="AB167" i="30" s="1"/>
  <c r="AQ161" i="30"/>
  <c r="AR161" i="30" s="1"/>
  <c r="AA166" i="30"/>
  <c r="AB166" i="30" s="1"/>
  <c r="AA162" i="30"/>
  <c r="AB162" i="30" s="1"/>
  <c r="AA154" i="30"/>
  <c r="AB154" i="30" s="1"/>
  <c r="AM141" i="30"/>
  <c r="AQ141" i="30" s="1"/>
  <c r="AA151" i="30"/>
  <c r="AB151" i="30" s="1"/>
  <c r="AQ155" i="30"/>
  <c r="AR155" i="30" s="1"/>
  <c r="AA160" i="30"/>
  <c r="AB160" i="30" s="1"/>
  <c r="AA168" i="30"/>
  <c r="AB168" i="30" s="1"/>
  <c r="AQ142" i="30"/>
  <c r="AR142" i="30" s="1"/>
  <c r="AA145" i="30"/>
  <c r="AB145" i="30" s="1"/>
  <c r="L117" i="26"/>
  <c r="I24" i="10" s="1"/>
  <c r="I26" i="10" s="1"/>
  <c r="I78" i="10" s="1"/>
  <c r="AJ236" i="30" s="1"/>
  <c r="AQ160" i="30"/>
  <c r="AR160" i="30" s="1"/>
  <c r="AA165" i="30"/>
  <c r="AB165" i="30" s="1"/>
  <c r="AQ166" i="30"/>
  <c r="AR166" i="30" s="1"/>
  <c r="R117" i="26"/>
  <c r="AA155" i="30"/>
  <c r="AB155" i="30" s="1"/>
  <c r="AA170" i="30"/>
  <c r="AB170" i="30" s="1"/>
  <c r="AA172" i="30"/>
  <c r="AB172" i="30" s="1"/>
  <c r="AM147" i="30"/>
  <c r="AQ147" i="30" s="1"/>
  <c r="AR147" i="30" s="1"/>
  <c r="AP159" i="30"/>
  <c r="AP174" i="30" s="1"/>
  <c r="AQ167" i="30"/>
  <c r="AR167" i="30" s="1"/>
  <c r="AO156" i="30"/>
  <c r="AQ154" i="30"/>
  <c r="AR154" i="30" s="1"/>
  <c r="AQ238" i="30"/>
  <c r="AR238" i="30" s="1"/>
  <c r="AQ151" i="30"/>
  <c r="AR151" i="30" s="1"/>
  <c r="AQ153" i="30"/>
  <c r="AR153" i="30" s="1"/>
  <c r="AQ144" i="30"/>
  <c r="AR144" i="30" s="1"/>
  <c r="AQ172" i="30"/>
  <c r="AR172" i="30" s="1"/>
  <c r="AQ163" i="30"/>
  <c r="AR163" i="30" s="1"/>
  <c r="AQ143" i="30"/>
  <c r="AR143" i="30" s="1"/>
  <c r="AQ164" i="30"/>
  <c r="AR164" i="30" s="1"/>
  <c r="AQ146" i="30"/>
  <c r="AR146" i="30" s="1"/>
  <c r="AE176" i="30"/>
  <c r="I16" i="28" s="1"/>
  <c r="AQ171" i="30"/>
  <c r="AR171" i="30" s="1"/>
  <c r="AA143" i="30"/>
  <c r="AB143" i="30" s="1"/>
  <c r="L223" i="30"/>
  <c r="AQ162" i="30"/>
  <c r="AR162" i="30" s="1"/>
  <c r="AA164" i="30"/>
  <c r="AB164" i="30" s="1"/>
  <c r="I228" i="30"/>
  <c r="I267" i="30" s="1"/>
  <c r="AA163" i="30"/>
  <c r="AB163" i="30" s="1"/>
  <c r="J272" i="30"/>
  <c r="J275" i="30" s="1"/>
  <c r="J276" i="30" s="1"/>
  <c r="J48" i="10" s="1"/>
  <c r="AQ149" i="30"/>
  <c r="AR149" i="30" s="1"/>
  <c r="H272" i="30"/>
  <c r="H275" i="30" s="1"/>
  <c r="H276" i="30" s="1"/>
  <c r="F48" i="10" s="1"/>
  <c r="L54" i="30"/>
  <c r="AQ150" i="30"/>
  <c r="AR150" i="30" s="1"/>
  <c r="AQ145" i="30"/>
  <c r="AR145" i="30" s="1"/>
  <c r="AA146" i="30"/>
  <c r="AB146" i="30" s="1"/>
  <c r="AE65" i="30"/>
  <c r="AO65" i="30" s="1"/>
  <c r="Y65" i="30"/>
  <c r="W65" i="30"/>
  <c r="AD44" i="26"/>
  <c r="AD60" i="26" s="1"/>
  <c r="AD119" i="26" s="1"/>
  <c r="AD121" i="26" s="1"/>
  <c r="AD124" i="26" s="1"/>
  <c r="AD126" i="26" s="1"/>
  <c r="V60" i="26"/>
  <c r="V119" i="26" s="1"/>
  <c r="V121" i="26" s="1"/>
  <c r="V124" i="26" s="1"/>
  <c r="V126" i="26" s="1"/>
  <c r="J228" i="30"/>
  <c r="L124" i="26"/>
  <c r="L126" i="26" s="1"/>
  <c r="W156" i="30"/>
  <c r="AL174" i="30"/>
  <c r="AA142" i="30"/>
  <c r="AB142" i="30" s="1"/>
  <c r="AQ169" i="30"/>
  <c r="AR169" i="30" s="1"/>
  <c r="AQ170" i="30"/>
  <c r="AR170" i="30" s="1"/>
  <c r="AF65" i="30"/>
  <c r="AP65" i="30" s="1"/>
  <c r="Z65" i="30"/>
  <c r="I117" i="26"/>
  <c r="F24" i="10" s="1"/>
  <c r="F26" i="10" s="1"/>
  <c r="F78" i="10" s="1"/>
  <c r="AG54" i="30" s="1"/>
  <c r="AG57" i="30" s="1"/>
  <c r="J13" i="28" s="1"/>
  <c r="V57" i="30"/>
  <c r="S117" i="26"/>
  <c r="G117" i="26"/>
  <c r="U57" i="30"/>
  <c r="Y249" i="30"/>
  <c r="AE249" i="30"/>
  <c r="W249" i="30"/>
  <c r="H228" i="30"/>
  <c r="H267" i="30" s="1"/>
  <c r="AF61" i="30"/>
  <c r="AP61" i="30" s="1"/>
  <c r="Z61" i="30"/>
  <c r="A185" i="30"/>
  <c r="A186" i="30" s="1"/>
  <c r="A187" i="30" s="1"/>
  <c r="A188" i="30" s="1"/>
  <c r="A189" i="30" s="1"/>
  <c r="A190" i="30" s="1"/>
  <c r="A191" i="30" s="1"/>
  <c r="C17" i="28"/>
  <c r="V176" i="30"/>
  <c r="T57" i="30"/>
  <c r="J117" i="26"/>
  <c r="G24" i="10" s="1"/>
  <c r="G26" i="10" s="1"/>
  <c r="G78" i="10" s="1"/>
  <c r="AH236" i="30" s="1"/>
  <c r="N117" i="26"/>
  <c r="K24" i="10" s="1"/>
  <c r="K26" i="10" s="1"/>
  <c r="K78" i="10" s="1"/>
  <c r="AL236" i="30" s="1"/>
  <c r="R119" i="26"/>
  <c r="N121" i="26"/>
  <c r="Z127" i="26"/>
  <c r="H67" i="10" s="1"/>
  <c r="Z140" i="26"/>
  <c r="AA127" i="26"/>
  <c r="I67" i="10" s="1"/>
  <c r="R57" i="30"/>
  <c r="AE61" i="30"/>
  <c r="W61" i="30"/>
  <c r="Y61" i="30"/>
  <c r="L57" i="30"/>
  <c r="AA144" i="30"/>
  <c r="AB144" i="30" s="1"/>
  <c r="AM148" i="30"/>
  <c r="AQ148" i="30" s="1"/>
  <c r="AR148" i="30" s="1"/>
  <c r="AL156" i="30"/>
  <c r="S57" i="30"/>
  <c r="Q117" i="26"/>
  <c r="H117" i="26"/>
  <c r="E24" i="10" s="1"/>
  <c r="E26" i="10" s="1"/>
  <c r="E78" i="10" s="1"/>
  <c r="AF236" i="30" s="1"/>
  <c r="AG119" i="26"/>
  <c r="AC121" i="26"/>
  <c r="S44" i="26"/>
  <c r="S60" i="26" s="1"/>
  <c r="Q60" i="26"/>
  <c r="O119" i="26"/>
  <c r="AF44" i="26"/>
  <c r="AB60" i="26"/>
  <c r="AB119" i="26" s="1"/>
  <c r="L226" i="30"/>
  <c r="Z223" i="30"/>
  <c r="H124" i="26"/>
  <c r="H126" i="26" s="1"/>
  <c r="Q57" i="30"/>
  <c r="Z156" i="30"/>
  <c r="AA141" i="30"/>
  <c r="Y176" i="30"/>
  <c r="I272" i="30"/>
  <c r="P57" i="30"/>
  <c r="Z54" i="30"/>
  <c r="AP156" i="30"/>
  <c r="I119" i="26"/>
  <c r="I121" i="26" s="1"/>
  <c r="J122" i="26" s="1"/>
  <c r="G55" i="10" s="1"/>
  <c r="W174" i="30"/>
  <c r="Z236" i="30"/>
  <c r="K117" i="26"/>
  <c r="H24" i="10" s="1"/>
  <c r="H26" i="10" s="1"/>
  <c r="H78" i="10" s="1"/>
  <c r="AI236" i="30" s="1"/>
  <c r="O117" i="26"/>
  <c r="L24" i="10" s="1"/>
  <c r="L26" i="10" s="1"/>
  <c r="L78" i="10" s="1"/>
  <c r="AM173" i="30"/>
  <c r="AM174" i="30" s="1"/>
  <c r="H50" i="10"/>
  <c r="K271" i="30"/>
  <c r="K91" i="30"/>
  <c r="K117" i="30" s="1"/>
  <c r="K270" i="30" s="1"/>
  <c r="AF249" i="30"/>
  <c r="AP249" i="30" s="1"/>
  <c r="Z249" i="30"/>
  <c r="Z174" i="30"/>
  <c r="AA159" i="30"/>
  <c r="V117" i="26"/>
  <c r="D25" i="10" s="1"/>
  <c r="AO174" i="30"/>
  <c r="G117" i="30"/>
  <c r="Y223" i="30"/>
  <c r="W223" i="30"/>
  <c r="K119" i="26"/>
  <c r="K121" i="26" s="1"/>
  <c r="L122" i="26" s="1"/>
  <c r="I55" i="10" s="1"/>
  <c r="J124" i="26"/>
  <c r="J126" i="26" s="1"/>
  <c r="M119" i="26"/>
  <c r="M121" i="26" s="1"/>
  <c r="AQ168" i="30"/>
  <c r="AR168" i="30" s="1"/>
  <c r="O57" i="30"/>
  <c r="Y54" i="30"/>
  <c r="Y57" i="30" s="1"/>
  <c r="W54" i="30"/>
  <c r="W57" i="30" s="1"/>
  <c r="Y127" i="26"/>
  <c r="G67" i="10" s="1"/>
  <c r="X140" i="26"/>
  <c r="X127" i="26"/>
  <c r="F67" i="10" s="1"/>
  <c r="L21" i="10"/>
  <c r="E21" i="10"/>
  <c r="E50" i="10" s="1"/>
  <c r="I21" i="10"/>
  <c r="I50" i="10" s="1"/>
  <c r="G21" i="10"/>
  <c r="G50" i="10" s="1"/>
  <c r="K21" i="10"/>
  <c r="K50" i="10" s="1"/>
  <c r="Y236" i="30"/>
  <c r="W236" i="30"/>
  <c r="AQ165" i="30"/>
  <c r="AR165" i="30" s="1"/>
  <c r="AA171" i="30"/>
  <c r="AB171" i="30" s="1"/>
  <c r="M117" i="26"/>
  <c r="J24" i="10" s="1"/>
  <c r="J26" i="10" s="1"/>
  <c r="J78" i="10" s="1"/>
  <c r="AK54" i="30" s="1"/>
  <c r="AK57" i="30" s="1"/>
  <c r="G119" i="26"/>
  <c r="G121" i="26" s="1"/>
  <c r="H122" i="26" s="1"/>
  <c r="E55" i="10" s="1"/>
  <c r="AA169" i="30"/>
  <c r="AB169" i="30" s="1"/>
  <c r="D49" i="10" l="1"/>
  <c r="G241" i="30" s="1"/>
  <c r="AO176" i="30"/>
  <c r="H16" i="28" s="1"/>
  <c r="G16" i="28" s="1"/>
  <c r="H49" i="10"/>
  <c r="I241" i="30" s="1"/>
  <c r="J49" i="10"/>
  <c r="J257" i="30" s="1"/>
  <c r="L91" i="30"/>
  <c r="H273" i="30"/>
  <c r="F47" i="10" s="1"/>
  <c r="AQ159" i="30"/>
  <c r="AR159" i="30" s="1"/>
  <c r="J273" i="30"/>
  <c r="J47" i="10" s="1"/>
  <c r="AJ54" i="30"/>
  <c r="AJ57" i="30" s="1"/>
  <c r="L13" i="28" s="1"/>
  <c r="AL176" i="30"/>
  <c r="AM156" i="30"/>
  <c r="AM176" i="30" s="1"/>
  <c r="AA249" i="30"/>
  <c r="AB249" i="30" s="1"/>
  <c r="K272" i="30"/>
  <c r="K273" i="30" s="1"/>
  <c r="L47" i="10" s="1"/>
  <c r="AF54" i="30"/>
  <c r="AF57" i="30" s="1"/>
  <c r="AI54" i="30"/>
  <c r="AI57" i="30" s="1"/>
  <c r="K13" i="28" s="1"/>
  <c r="AG236" i="30"/>
  <c r="AP236" i="30"/>
  <c r="L109" i="26"/>
  <c r="AA109" i="26" s="1"/>
  <c r="L104" i="26"/>
  <c r="AA104" i="26" s="1"/>
  <c r="L111" i="26"/>
  <c r="AA111" i="26" s="1"/>
  <c r="L107" i="26"/>
  <c r="AA107" i="26" s="1"/>
  <c r="L108" i="26"/>
  <c r="AA108" i="26" s="1"/>
  <c r="L105" i="26"/>
  <c r="AA105" i="26" s="1"/>
  <c r="L101" i="26"/>
  <c r="AA101" i="26" s="1"/>
  <c r="L106" i="26"/>
  <c r="AA106" i="26" s="1"/>
  <c r="L103" i="26"/>
  <c r="AA103" i="26" s="1"/>
  <c r="L102" i="26"/>
  <c r="AA102" i="26" s="1"/>
  <c r="L100" i="26"/>
  <c r="L110" i="26"/>
  <c r="AA110" i="26" s="1"/>
  <c r="AA174" i="30"/>
  <c r="AB174" i="30" s="1"/>
  <c r="AB159" i="30"/>
  <c r="G100" i="26"/>
  <c r="G102" i="26"/>
  <c r="G101" i="26"/>
  <c r="G110" i="26"/>
  <c r="G108" i="26"/>
  <c r="G104" i="26"/>
  <c r="G111" i="26"/>
  <c r="G109" i="26"/>
  <c r="G105" i="26"/>
  <c r="G106" i="26"/>
  <c r="G107" i="26"/>
  <c r="G103" i="26"/>
  <c r="H140" i="26"/>
  <c r="AA61" i="30"/>
  <c r="AB61" i="30" s="1"/>
  <c r="L50" i="10"/>
  <c r="M50" i="10" s="1"/>
  <c r="L49" i="10"/>
  <c r="AA223" i="30"/>
  <c r="AB223" i="30" s="1"/>
  <c r="V140" i="26"/>
  <c r="V127" i="26"/>
  <c r="D67" i="10" s="1"/>
  <c r="W127" i="26"/>
  <c r="E67" i="10" s="1"/>
  <c r="D24" i="10"/>
  <c r="M24" i="10" s="1"/>
  <c r="E117" i="26"/>
  <c r="J267" i="30"/>
  <c r="M122" i="26"/>
  <c r="J55" i="10" s="1"/>
  <c r="M124" i="26"/>
  <c r="M126" i="26" s="1"/>
  <c r="I275" i="30"/>
  <c r="I276" i="30" s="1"/>
  <c r="H48" i="10" s="1"/>
  <c r="I273" i="30"/>
  <c r="H47" i="10" s="1"/>
  <c r="AC124" i="26"/>
  <c r="AG121" i="26"/>
  <c r="AH54" i="30"/>
  <c r="AH57" i="30" s="1"/>
  <c r="M105" i="26"/>
  <c r="M104" i="26"/>
  <c r="M109" i="26"/>
  <c r="M111" i="26"/>
  <c r="M103" i="26"/>
  <c r="AB103" i="26" s="1"/>
  <c r="M110" i="26"/>
  <c r="M102" i="26"/>
  <c r="M101" i="26"/>
  <c r="M108" i="26"/>
  <c r="M100" i="26"/>
  <c r="M106" i="26"/>
  <c r="M107" i="26"/>
  <c r="G270" i="30"/>
  <c r="G272" i="30" s="1"/>
  <c r="L117" i="30"/>
  <c r="I122" i="26"/>
  <c r="F55" i="10" s="1"/>
  <c r="I124" i="26"/>
  <c r="I126" i="26" s="1"/>
  <c r="J127" i="26" s="1"/>
  <c r="G56" i="10" s="1"/>
  <c r="AQ173" i="30"/>
  <c r="AR173" i="30" s="1"/>
  <c r="AL54" i="30"/>
  <c r="AL57" i="30" s="1"/>
  <c r="AD140" i="26"/>
  <c r="AD127" i="26"/>
  <c r="L67" i="10" s="1"/>
  <c r="J104" i="26"/>
  <c r="Y104" i="26" s="1"/>
  <c r="J111" i="26"/>
  <c r="Y111" i="26" s="1"/>
  <c r="J103" i="26"/>
  <c r="Y103" i="26" s="1"/>
  <c r="J110" i="26"/>
  <c r="Y110" i="26" s="1"/>
  <c r="J102" i="26"/>
  <c r="Y102" i="26" s="1"/>
  <c r="J100" i="26"/>
  <c r="J109" i="26"/>
  <c r="Y109" i="26" s="1"/>
  <c r="J101" i="26"/>
  <c r="Y101" i="26" s="1"/>
  <c r="J108" i="26"/>
  <c r="Y108" i="26" s="1"/>
  <c r="J107" i="26"/>
  <c r="Y107" i="26" s="1"/>
  <c r="J105" i="26"/>
  <c r="J106" i="26"/>
  <c r="O121" i="26"/>
  <c r="Q119" i="26"/>
  <c r="S119" i="26" s="1"/>
  <c r="F49" i="10"/>
  <c r="AM65" i="30"/>
  <c r="AQ65" i="30" s="1"/>
  <c r="AR65" i="30" s="1"/>
  <c r="P196" i="30"/>
  <c r="P189" i="30"/>
  <c r="P194" i="30"/>
  <c r="P197" i="30"/>
  <c r="P188" i="30"/>
  <c r="P187" i="30"/>
  <c r="P195" i="30"/>
  <c r="P190" i="30"/>
  <c r="AO61" i="30"/>
  <c r="AM61" i="30"/>
  <c r="Y141" i="26"/>
  <c r="G71" i="10" s="1"/>
  <c r="F30" i="10"/>
  <c r="X141" i="26"/>
  <c r="F71" i="10" s="1"/>
  <c r="J140" i="26"/>
  <c r="AA156" i="30"/>
  <c r="AB141" i="30"/>
  <c r="AB121" i="26"/>
  <c r="AF119" i="26"/>
  <c r="AH119" i="26" s="1"/>
  <c r="AK236" i="30"/>
  <c r="AA141" i="26"/>
  <c r="I71" i="10" s="1"/>
  <c r="H30" i="10"/>
  <c r="Z141" i="26"/>
  <c r="H71" i="10" s="1"/>
  <c r="W176" i="30"/>
  <c r="G248" i="30"/>
  <c r="I105" i="26"/>
  <c r="X105" i="26" s="1"/>
  <c r="I101" i="26"/>
  <c r="I104" i="26"/>
  <c r="I106" i="26"/>
  <c r="X106" i="26" s="1"/>
  <c r="I111" i="26"/>
  <c r="X111" i="26" s="1"/>
  <c r="I103" i="26"/>
  <c r="X103" i="26" s="1"/>
  <c r="I110" i="26"/>
  <c r="X110" i="26" s="1"/>
  <c r="I102" i="26"/>
  <c r="X102" i="26" s="1"/>
  <c r="I109" i="26"/>
  <c r="X109" i="26" s="1"/>
  <c r="I108" i="26"/>
  <c r="X108" i="26" s="1"/>
  <c r="I100" i="26"/>
  <c r="I107" i="26"/>
  <c r="X107" i="26" s="1"/>
  <c r="H110" i="26"/>
  <c r="W110" i="26" s="1"/>
  <c r="H100" i="26"/>
  <c r="H109" i="26"/>
  <c r="W109" i="26" s="1"/>
  <c r="H106" i="26"/>
  <c r="W106" i="26" s="1"/>
  <c r="H108" i="26"/>
  <c r="W108" i="26" s="1"/>
  <c r="H107" i="26"/>
  <c r="W107" i="26" s="1"/>
  <c r="H104" i="26"/>
  <c r="W104" i="26" s="1"/>
  <c r="H105" i="26"/>
  <c r="W105" i="26" s="1"/>
  <c r="H111" i="26"/>
  <c r="W111" i="26" s="1"/>
  <c r="H103" i="26"/>
  <c r="W103" i="26" s="1"/>
  <c r="H102" i="26"/>
  <c r="W102" i="26" s="1"/>
  <c r="H101" i="26"/>
  <c r="W101" i="26" s="1"/>
  <c r="G124" i="26"/>
  <c r="G126" i="26" s="1"/>
  <c r="H127" i="26" s="1"/>
  <c r="E56" i="10" s="1"/>
  <c r="G122" i="26"/>
  <c r="D55" i="10" s="1"/>
  <c r="R187" i="30"/>
  <c r="R194" i="30"/>
  <c r="R189" i="30"/>
  <c r="AH189" i="30" s="1"/>
  <c r="R195" i="30"/>
  <c r="AH195" i="30" s="1"/>
  <c r="R196" i="30"/>
  <c r="AH196" i="30" s="1"/>
  <c r="R197" i="30"/>
  <c r="AH197" i="30" s="1"/>
  <c r="R188" i="30"/>
  <c r="AH188" i="30" s="1"/>
  <c r="R190" i="30"/>
  <c r="AH190" i="30" s="1"/>
  <c r="K228" i="30"/>
  <c r="AO249" i="30"/>
  <c r="AM249" i="30"/>
  <c r="AA65" i="30"/>
  <c r="AB65" i="30" s="1"/>
  <c r="T190" i="30"/>
  <c r="AJ190" i="30" s="1"/>
  <c r="T189" i="30"/>
  <c r="AJ189" i="30" s="1"/>
  <c r="T187" i="30"/>
  <c r="T188" i="30"/>
  <c r="AJ188" i="30" s="1"/>
  <c r="T194" i="30"/>
  <c r="T196" i="30"/>
  <c r="AJ196" i="30" s="1"/>
  <c r="T197" i="30"/>
  <c r="AJ197" i="30" s="1"/>
  <c r="T195" i="30"/>
  <c r="AJ195" i="30" s="1"/>
  <c r="AA54" i="30"/>
  <c r="Z57" i="30"/>
  <c r="M21" i="10"/>
  <c r="M25" i="10"/>
  <c r="AQ156" i="30"/>
  <c r="AR141" i="30"/>
  <c r="Z176" i="30"/>
  <c r="AH44" i="26"/>
  <c r="AH60" i="26" s="1"/>
  <c r="AF60" i="26"/>
  <c r="N108" i="26"/>
  <c r="N100" i="26"/>
  <c r="N107" i="26"/>
  <c r="N106" i="26"/>
  <c r="AC106" i="26" s="1"/>
  <c r="N105" i="26"/>
  <c r="AC105" i="26" s="1"/>
  <c r="N104" i="26"/>
  <c r="N111" i="26"/>
  <c r="N103" i="26"/>
  <c r="N109" i="26"/>
  <c r="N110" i="26"/>
  <c r="N102" i="26"/>
  <c r="N101" i="26"/>
  <c r="K124" i="26"/>
  <c r="K126" i="26" s="1"/>
  <c r="L127" i="26" s="1"/>
  <c r="I56" i="10" s="1"/>
  <c r="K122" i="26"/>
  <c r="H55" i="10" s="1"/>
  <c r="K106" i="26"/>
  <c r="Z106" i="26" s="1"/>
  <c r="K103" i="26"/>
  <c r="K104" i="26"/>
  <c r="Z104" i="26" s="1"/>
  <c r="K101" i="26"/>
  <c r="K102" i="26"/>
  <c r="Z102" i="26" s="1"/>
  <c r="K111" i="26"/>
  <c r="Z111" i="26" s="1"/>
  <c r="K108" i="26"/>
  <c r="Z108" i="26" s="1"/>
  <c r="K100" i="26"/>
  <c r="Z100" i="26" s="1"/>
  <c r="K109" i="26"/>
  <c r="Z109" i="26" s="1"/>
  <c r="K110" i="26"/>
  <c r="Z110" i="26" s="1"/>
  <c r="K107" i="26"/>
  <c r="Z107" i="26" s="1"/>
  <c r="K105" i="26"/>
  <c r="Z105" i="26" s="1"/>
  <c r="AA236" i="30"/>
  <c r="AP176" i="30"/>
  <c r="N122" i="26"/>
  <c r="K55" i="10" s="1"/>
  <c r="N124" i="26"/>
  <c r="R121" i="26"/>
  <c r="A192" i="30"/>
  <c r="A193" i="30" s="1"/>
  <c r="A194" i="30" s="1"/>
  <c r="A195" i="30" s="1"/>
  <c r="A196" i="30" s="1"/>
  <c r="A197" i="30" s="1"/>
  <c r="A198" i="30" s="1"/>
  <c r="C18" i="28"/>
  <c r="G228" i="30"/>
  <c r="L140" i="26"/>
  <c r="J248" i="30" l="1"/>
  <c r="V248" i="30" s="1"/>
  <c r="AL248" i="30" s="1"/>
  <c r="I248" i="30"/>
  <c r="I251" i="30" s="1"/>
  <c r="G257" i="30"/>
  <c r="G260" i="30" s="1"/>
  <c r="J241" i="30"/>
  <c r="J244" i="30" s="1"/>
  <c r="I257" i="30"/>
  <c r="I260" i="30" s="1"/>
  <c r="I281" i="30" s="1"/>
  <c r="AQ174" i="30"/>
  <c r="AR174" i="30" s="1"/>
  <c r="K275" i="30"/>
  <c r="K276" i="30" s="1"/>
  <c r="L48" i="10" s="1"/>
  <c r="AQ249" i="30"/>
  <c r="AR249" i="30" s="1"/>
  <c r="AP54" i="30"/>
  <c r="AP57" i="30" s="1"/>
  <c r="R109" i="26"/>
  <c r="AC109" i="26"/>
  <c r="AG109" i="26" s="1"/>
  <c r="Q102" i="26"/>
  <c r="AB102" i="26"/>
  <c r="O109" i="26"/>
  <c r="J260" i="30"/>
  <c r="J281" i="30" s="1"/>
  <c r="U257" i="30"/>
  <c r="AK257" i="30" s="1"/>
  <c r="V257" i="30"/>
  <c r="AL257" i="30" s="1"/>
  <c r="AG124" i="26"/>
  <c r="AC126" i="26"/>
  <c r="O111" i="26"/>
  <c r="V189" i="30"/>
  <c r="AL189" i="30" s="1"/>
  <c r="V190" i="30"/>
  <c r="AL190" i="30" s="1"/>
  <c r="V187" i="30"/>
  <c r="Z187" i="30" s="1"/>
  <c r="V194" i="30"/>
  <c r="Z194" i="30" s="1"/>
  <c r="V196" i="30"/>
  <c r="AL196" i="30" s="1"/>
  <c r="V197" i="30"/>
  <c r="AL197" i="30" s="1"/>
  <c r="V195" i="30"/>
  <c r="AL195" i="30" s="1"/>
  <c r="V188" i="30"/>
  <c r="AL188" i="30" s="1"/>
  <c r="G29" i="10"/>
  <c r="G31" i="10" s="1"/>
  <c r="G79" i="10" s="1"/>
  <c r="E29" i="10"/>
  <c r="E31" i="10" s="1"/>
  <c r="E79" i="10" s="1"/>
  <c r="T68" i="30"/>
  <c r="AJ68" i="30" s="1"/>
  <c r="T84" i="30"/>
  <c r="AJ84" i="30" s="1"/>
  <c r="T103" i="30"/>
  <c r="AJ103" i="30" s="1"/>
  <c r="T82" i="30"/>
  <c r="AJ82" i="30" s="1"/>
  <c r="T70" i="30"/>
  <c r="AJ70" i="30" s="1"/>
  <c r="T86" i="30"/>
  <c r="AJ86" i="30" s="1"/>
  <c r="T105" i="30"/>
  <c r="AJ105" i="30" s="1"/>
  <c r="T95" i="30"/>
  <c r="T66" i="30"/>
  <c r="AJ66" i="30" s="1"/>
  <c r="T72" i="30"/>
  <c r="AJ72" i="30" s="1"/>
  <c r="T88" i="30"/>
  <c r="AJ88" i="30" s="1"/>
  <c r="T107" i="30"/>
  <c r="AJ107" i="30" s="1"/>
  <c r="T80" i="30"/>
  <c r="AJ80" i="30" s="1"/>
  <c r="T101" i="30"/>
  <c r="AJ101" i="30" s="1"/>
  <c r="T111" i="30"/>
  <c r="AJ111" i="30" s="1"/>
  <c r="T74" i="30"/>
  <c r="AJ74" i="30" s="1"/>
  <c r="T90" i="30"/>
  <c r="AJ90" i="30" s="1"/>
  <c r="T235" i="30"/>
  <c r="T76" i="30"/>
  <c r="AJ76" i="30" s="1"/>
  <c r="T64" i="30"/>
  <c r="AJ64" i="30" s="1"/>
  <c r="T113" i="30"/>
  <c r="AJ113" i="30" s="1"/>
  <c r="T62" i="30"/>
  <c r="T78" i="30"/>
  <c r="AJ78" i="30" s="1"/>
  <c r="T97" i="30"/>
  <c r="AJ97" i="30" s="1"/>
  <c r="T99" i="30"/>
  <c r="AJ99" i="30" s="1"/>
  <c r="S196" i="30"/>
  <c r="AI196" i="30" s="1"/>
  <c r="S189" i="30"/>
  <c r="AI189" i="30" s="1"/>
  <c r="S194" i="30"/>
  <c r="S197" i="30"/>
  <c r="AI197" i="30" s="1"/>
  <c r="S187" i="30"/>
  <c r="S190" i="30"/>
  <c r="AI190" i="30" s="1"/>
  <c r="S195" i="30"/>
  <c r="AI195" i="30" s="1"/>
  <c r="S188" i="30"/>
  <c r="AI188" i="30" s="1"/>
  <c r="R104" i="26"/>
  <c r="AC104" i="26"/>
  <c r="AG104" i="26" s="1"/>
  <c r="AJ194" i="30"/>
  <c r="AJ198" i="30" s="1"/>
  <c r="L19" i="28" s="1"/>
  <c r="T198" i="30"/>
  <c r="K267" i="30"/>
  <c r="R191" i="30"/>
  <c r="AH187" i="30"/>
  <c r="AH191" i="30" s="1"/>
  <c r="I112" i="26"/>
  <c r="I114" i="26" s="1"/>
  <c r="I115" i="26" s="1"/>
  <c r="F52" i="10" s="1"/>
  <c r="X100" i="26"/>
  <c r="O104" i="26"/>
  <c r="X104" i="26"/>
  <c r="S241" i="30"/>
  <c r="T241" i="30"/>
  <c r="AF188" i="30"/>
  <c r="O124" i="26"/>
  <c r="O122" i="26"/>
  <c r="L55" i="10" s="1"/>
  <c r="Q121" i="26"/>
  <c r="R122" i="26" s="1"/>
  <c r="L30" i="10"/>
  <c r="AD141" i="26"/>
  <c r="L71" i="10" s="1"/>
  <c r="Q107" i="26"/>
  <c r="AB107" i="26"/>
  <c r="Q111" i="26"/>
  <c r="AB111" i="26"/>
  <c r="O108" i="26"/>
  <c r="L112" i="26"/>
  <c r="L114" i="26" s="1"/>
  <c r="L115" i="26" s="1"/>
  <c r="I52" i="10" s="1"/>
  <c r="AA100" i="26"/>
  <c r="AA112" i="26" s="1"/>
  <c r="AA114" i="26" s="1"/>
  <c r="H112" i="26"/>
  <c r="H114" i="26" s="1"/>
  <c r="H115" i="26" s="1"/>
  <c r="E52" i="10" s="1"/>
  <c r="W100" i="26"/>
  <c r="W112" i="26" s="1"/>
  <c r="W114" i="26" s="1"/>
  <c r="G251" i="30"/>
  <c r="O248" i="30"/>
  <c r="P248" i="30"/>
  <c r="I29" i="10"/>
  <c r="I31" i="10" s="1"/>
  <c r="I79" i="10" s="1"/>
  <c r="K140" i="26"/>
  <c r="L141" i="26" s="1"/>
  <c r="I59" i="10" s="1"/>
  <c r="K127" i="26"/>
  <c r="H56" i="10" s="1"/>
  <c r="O187" i="30"/>
  <c r="O189" i="30"/>
  <c r="O195" i="30"/>
  <c r="O197" i="30"/>
  <c r="O190" i="30"/>
  <c r="O194" i="30"/>
  <c r="O196" i="30"/>
  <c r="O188" i="30"/>
  <c r="O101" i="26"/>
  <c r="X101" i="26"/>
  <c r="AB124" i="26"/>
  <c r="AF121" i="26"/>
  <c r="AH121" i="26" s="1"/>
  <c r="AF197" i="30"/>
  <c r="J112" i="26"/>
  <c r="J114" i="26" s="1"/>
  <c r="J115" i="26" s="1"/>
  <c r="G52" i="10" s="1"/>
  <c r="Y100" i="26"/>
  <c r="Q106" i="26"/>
  <c r="AB106" i="26"/>
  <c r="Q109" i="26"/>
  <c r="AB109" i="26"/>
  <c r="M140" i="26"/>
  <c r="V141" i="26"/>
  <c r="D71" i="10" s="1"/>
  <c r="D30" i="10"/>
  <c r="W141" i="26"/>
  <c r="E71" i="10" s="1"/>
  <c r="G112" i="26"/>
  <c r="G114" i="26" s="1"/>
  <c r="G115" i="26" s="1"/>
  <c r="D52" i="10" s="1"/>
  <c r="O103" i="26"/>
  <c r="O110" i="26"/>
  <c r="O241" i="30"/>
  <c r="P241" i="30"/>
  <c r="G244" i="30"/>
  <c r="AF190" i="30"/>
  <c r="AF195" i="30"/>
  <c r="Q110" i="26"/>
  <c r="AB110" i="26"/>
  <c r="AH194" i="30"/>
  <c r="AH198" i="30" s="1"/>
  <c r="R198" i="30"/>
  <c r="G267" i="30"/>
  <c r="L228" i="30"/>
  <c r="K112" i="26"/>
  <c r="K114" i="26" s="1"/>
  <c r="K115" i="26" s="1"/>
  <c r="H52" i="10" s="1"/>
  <c r="Z101" i="26"/>
  <c r="R101" i="26"/>
  <c r="AC101" i="26"/>
  <c r="AG101" i="26" s="1"/>
  <c r="AR156" i="30"/>
  <c r="T191" i="30"/>
  <c r="AJ187" i="30"/>
  <c r="AJ191" i="30" s="1"/>
  <c r="L18" i="28" s="1"/>
  <c r="G140" i="26"/>
  <c r="H141" i="26" s="1"/>
  <c r="E59" i="10" s="1"/>
  <c r="G127" i="26"/>
  <c r="D56" i="10" s="1"/>
  <c r="P198" i="30"/>
  <c r="AF194" i="30"/>
  <c r="M112" i="26"/>
  <c r="M114" i="26" s="1"/>
  <c r="M115" i="26" s="1"/>
  <c r="J52" i="10" s="1"/>
  <c r="Q100" i="26"/>
  <c r="AB100" i="26"/>
  <c r="Q104" i="26"/>
  <c r="AB104" i="26"/>
  <c r="U194" i="30"/>
  <c r="U189" i="30"/>
  <c r="AK189" i="30" s="1"/>
  <c r="U196" i="30"/>
  <c r="AK196" i="30" s="1"/>
  <c r="U195" i="30"/>
  <c r="AK195" i="30" s="1"/>
  <c r="U188" i="30"/>
  <c r="AK188" i="30" s="1"/>
  <c r="U197" i="30"/>
  <c r="AK197" i="30" s="1"/>
  <c r="U187" i="30"/>
  <c r="U190" i="30"/>
  <c r="AK190" i="30" s="1"/>
  <c r="O107" i="26"/>
  <c r="R124" i="26"/>
  <c r="N126" i="26"/>
  <c r="M127" i="26" s="1"/>
  <c r="J56" i="10" s="1"/>
  <c r="R72" i="30"/>
  <c r="AH72" i="30" s="1"/>
  <c r="R88" i="30"/>
  <c r="AH88" i="30" s="1"/>
  <c r="R107" i="30"/>
  <c r="AH107" i="30" s="1"/>
  <c r="R95" i="30"/>
  <c r="R97" i="30"/>
  <c r="AH97" i="30" s="1"/>
  <c r="R103" i="30"/>
  <c r="AH103" i="30" s="1"/>
  <c r="R86" i="30"/>
  <c r="AH86" i="30" s="1"/>
  <c r="R74" i="30"/>
  <c r="AH74" i="30" s="1"/>
  <c r="R90" i="30"/>
  <c r="AH90" i="30" s="1"/>
  <c r="R111" i="30"/>
  <c r="AH111" i="30" s="1"/>
  <c r="R76" i="30"/>
  <c r="AH76" i="30" s="1"/>
  <c r="R105" i="30"/>
  <c r="AH105" i="30" s="1"/>
  <c r="R113" i="30"/>
  <c r="AH113" i="30" s="1"/>
  <c r="R62" i="30"/>
  <c r="R235" i="30"/>
  <c r="R64" i="30"/>
  <c r="AH64" i="30" s="1"/>
  <c r="R70" i="30"/>
  <c r="AH70" i="30" s="1"/>
  <c r="R78" i="30"/>
  <c r="AH78" i="30" s="1"/>
  <c r="R99" i="30"/>
  <c r="AH99" i="30" s="1"/>
  <c r="R84" i="30"/>
  <c r="AH84" i="30" s="1"/>
  <c r="R80" i="30"/>
  <c r="AH80" i="30" s="1"/>
  <c r="R68" i="30"/>
  <c r="AH68" i="30" s="1"/>
  <c r="R66" i="30"/>
  <c r="AH66" i="30" s="1"/>
  <c r="R82" i="30"/>
  <c r="AH82" i="30" s="1"/>
  <c r="R101" i="30"/>
  <c r="AH101" i="30" s="1"/>
  <c r="AF187" i="30"/>
  <c r="P191" i="30"/>
  <c r="N112" i="26"/>
  <c r="N114" i="26" s="1"/>
  <c r="N115" i="26" s="1"/>
  <c r="K52" i="10" s="1"/>
  <c r="R102" i="26"/>
  <c r="AC102" i="26"/>
  <c r="AG102" i="26" s="1"/>
  <c r="R107" i="26"/>
  <c r="AC107" i="26"/>
  <c r="AG107" i="26" s="1"/>
  <c r="D26" i="10"/>
  <c r="D78" i="10" s="1"/>
  <c r="V109" i="26" s="1"/>
  <c r="AA176" i="30"/>
  <c r="AB176" i="30" s="1"/>
  <c r="AB156" i="30"/>
  <c r="AQ61" i="30"/>
  <c r="AR61" i="30" s="1"/>
  <c r="AF189" i="30"/>
  <c r="R106" i="26"/>
  <c r="Y106" i="26"/>
  <c r="AG106" i="26" s="1"/>
  <c r="I127" i="26"/>
  <c r="F56" i="10" s="1"/>
  <c r="I140" i="26"/>
  <c r="J141" i="26" s="1"/>
  <c r="G59" i="10" s="1"/>
  <c r="Q108" i="26"/>
  <c r="AB108" i="26"/>
  <c r="Q105" i="26"/>
  <c r="AB105" i="26"/>
  <c r="O106" i="26"/>
  <c r="O102" i="26"/>
  <c r="R108" i="26"/>
  <c r="AC108" i="26"/>
  <c r="AG108" i="26" s="1"/>
  <c r="R103" i="26"/>
  <c r="AC103" i="26"/>
  <c r="AG103" i="26" s="1"/>
  <c r="H257" i="30"/>
  <c r="H248" i="30"/>
  <c r="H241" i="30"/>
  <c r="P74" i="30"/>
  <c r="AF74" i="30" s="1"/>
  <c r="P90" i="30"/>
  <c r="AF90" i="30" s="1"/>
  <c r="P111" i="30"/>
  <c r="AF111" i="30" s="1"/>
  <c r="P66" i="30"/>
  <c r="AF66" i="30" s="1"/>
  <c r="P105" i="30"/>
  <c r="AF105" i="30" s="1"/>
  <c r="P72" i="30"/>
  <c r="AF72" i="30" s="1"/>
  <c r="P107" i="30"/>
  <c r="AF107" i="30" s="1"/>
  <c r="P76" i="30"/>
  <c r="AF76" i="30" s="1"/>
  <c r="P95" i="30"/>
  <c r="P113" i="30"/>
  <c r="AF113" i="30" s="1"/>
  <c r="P70" i="30"/>
  <c r="AF70" i="30" s="1"/>
  <c r="P62" i="30"/>
  <c r="P78" i="30"/>
  <c r="AF78" i="30" s="1"/>
  <c r="P97" i="30"/>
  <c r="AF97" i="30" s="1"/>
  <c r="P235" i="30"/>
  <c r="P101" i="30"/>
  <c r="AF101" i="30" s="1"/>
  <c r="P88" i="30"/>
  <c r="AF88" i="30" s="1"/>
  <c r="P64" i="30"/>
  <c r="AF64" i="30" s="1"/>
  <c r="P80" i="30"/>
  <c r="AF80" i="30" s="1"/>
  <c r="P99" i="30"/>
  <c r="AF99" i="30" s="1"/>
  <c r="P82" i="30"/>
  <c r="AF82" i="30" s="1"/>
  <c r="P86" i="30"/>
  <c r="AF86" i="30" s="1"/>
  <c r="P68" i="30"/>
  <c r="AF68" i="30" s="1"/>
  <c r="P84" i="30"/>
  <c r="AF84" i="30" s="1"/>
  <c r="P103" i="30"/>
  <c r="AF103" i="30" s="1"/>
  <c r="R111" i="26"/>
  <c r="AC111" i="26"/>
  <c r="AG111" i="26" s="1"/>
  <c r="M49" i="10"/>
  <c r="G273" i="30"/>
  <c r="D47" i="10" s="1"/>
  <c r="M47" i="10" s="1"/>
  <c r="G275" i="30"/>
  <c r="G276" i="30" s="1"/>
  <c r="D48" i="10" s="1"/>
  <c r="A199" i="30"/>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C19" i="28"/>
  <c r="Q103" i="26"/>
  <c r="Z103" i="26"/>
  <c r="R110" i="26"/>
  <c r="AC110" i="26"/>
  <c r="AG110" i="26" s="1"/>
  <c r="R100" i="26"/>
  <c r="AC100" i="26"/>
  <c r="M26" i="10"/>
  <c r="AB54" i="30"/>
  <c r="AA57" i="30"/>
  <c r="AB57" i="30" s="1"/>
  <c r="P257" i="30"/>
  <c r="AF196" i="30"/>
  <c r="R105" i="26"/>
  <c r="Y105" i="26"/>
  <c r="AG105" i="26" s="1"/>
  <c r="Q190" i="30"/>
  <c r="AG190" i="30" s="1"/>
  <c r="Q194" i="30"/>
  <c r="Q189" i="30"/>
  <c r="AG189" i="30" s="1"/>
  <c r="Q187" i="30"/>
  <c r="Q197" i="30"/>
  <c r="AG197" i="30" s="1"/>
  <c r="Q188" i="30"/>
  <c r="AG188" i="30" s="1"/>
  <c r="Q196" i="30"/>
  <c r="AG196" i="30" s="1"/>
  <c r="Q195" i="30"/>
  <c r="AG195" i="30" s="1"/>
  <c r="Q101" i="26"/>
  <c r="AB101" i="26"/>
  <c r="O105" i="26"/>
  <c r="O100" i="26"/>
  <c r="U248" i="30" l="1"/>
  <c r="AK248" i="30" s="1"/>
  <c r="J251" i="30"/>
  <c r="S248" i="30"/>
  <c r="AI248" i="30" s="1"/>
  <c r="U241" i="30"/>
  <c r="T248" i="30"/>
  <c r="AJ248" i="30" s="1"/>
  <c r="K248" i="30"/>
  <c r="K251" i="30" s="1"/>
  <c r="O257" i="30"/>
  <c r="V241" i="30"/>
  <c r="S257" i="30"/>
  <c r="AI257" i="30" s="1"/>
  <c r="T257" i="30"/>
  <c r="AJ257" i="30" s="1"/>
  <c r="M48" i="10"/>
  <c r="Z196" i="30"/>
  <c r="G253" i="30"/>
  <c r="AQ176" i="30"/>
  <c r="AR176" i="30" s="1"/>
  <c r="AP189" i="30"/>
  <c r="Z112" i="26"/>
  <c r="Z114" i="26" s="1"/>
  <c r="AP196" i="30"/>
  <c r="S103" i="26"/>
  <c r="Z195" i="30"/>
  <c r="S106" i="26"/>
  <c r="AP188" i="30"/>
  <c r="AP195" i="30"/>
  <c r="AP190" i="30"/>
  <c r="Z189" i="30"/>
  <c r="S101" i="26"/>
  <c r="AD109" i="26"/>
  <c r="S110" i="26"/>
  <c r="S109" i="26"/>
  <c r="Z190" i="30"/>
  <c r="S111" i="26"/>
  <c r="Z188" i="30"/>
  <c r="V100" i="26"/>
  <c r="AF100" i="26" s="1"/>
  <c r="R256" i="30"/>
  <c r="R247" i="30"/>
  <c r="R206" i="30"/>
  <c r="P247" i="30"/>
  <c r="P256" i="30"/>
  <c r="P206" i="30"/>
  <c r="U103" i="30"/>
  <c r="AK103" i="30" s="1"/>
  <c r="U113" i="30"/>
  <c r="AK113" i="30" s="1"/>
  <c r="U76" i="30"/>
  <c r="AK76" i="30" s="1"/>
  <c r="U88" i="30"/>
  <c r="AK88" i="30" s="1"/>
  <c r="U107" i="30"/>
  <c r="AK107" i="30" s="1"/>
  <c r="U68" i="30"/>
  <c r="AK68" i="30" s="1"/>
  <c r="U111" i="30"/>
  <c r="AK111" i="30" s="1"/>
  <c r="U66" i="30"/>
  <c r="AK66" i="30" s="1"/>
  <c r="U84" i="30"/>
  <c r="AK84" i="30" s="1"/>
  <c r="U78" i="30"/>
  <c r="AK78" i="30" s="1"/>
  <c r="U64" i="30"/>
  <c r="AK64" i="30" s="1"/>
  <c r="U74" i="30"/>
  <c r="AK74" i="30" s="1"/>
  <c r="U101" i="30"/>
  <c r="AK101" i="30" s="1"/>
  <c r="U95" i="30"/>
  <c r="U62" i="30"/>
  <c r="U72" i="30"/>
  <c r="AK72" i="30" s="1"/>
  <c r="U82" i="30"/>
  <c r="AK82" i="30" s="1"/>
  <c r="U235" i="30"/>
  <c r="U99" i="30"/>
  <c r="AK99" i="30" s="1"/>
  <c r="U97" i="30"/>
  <c r="AK97" i="30" s="1"/>
  <c r="U105" i="30"/>
  <c r="AK105" i="30" s="1"/>
  <c r="U70" i="30"/>
  <c r="AK70" i="30" s="1"/>
  <c r="U80" i="30"/>
  <c r="AK80" i="30" s="1"/>
  <c r="U90" i="30"/>
  <c r="AK90" i="30" s="1"/>
  <c r="U86" i="30"/>
  <c r="AK86" i="30" s="1"/>
  <c r="Q241" i="30"/>
  <c r="R241" i="30"/>
  <c r="AH241" i="30" s="1"/>
  <c r="H244" i="30"/>
  <c r="V106" i="26"/>
  <c r="AD106" i="26" s="1"/>
  <c r="AF198" i="30"/>
  <c r="AE197" i="30"/>
  <c r="Y197" i="30"/>
  <c r="W197" i="30"/>
  <c r="S102" i="26"/>
  <c r="AE195" i="30"/>
  <c r="W195" i="30"/>
  <c r="Y195" i="30"/>
  <c r="AF239" i="30"/>
  <c r="AF232" i="30"/>
  <c r="AF207" i="30"/>
  <c r="AF224" i="30"/>
  <c r="AF204" i="30"/>
  <c r="AF233" i="30"/>
  <c r="AF240" i="30"/>
  <c r="AF223" i="30"/>
  <c r="AF208" i="30"/>
  <c r="AF218" i="30"/>
  <c r="AF205" i="30"/>
  <c r="AF234" i="30"/>
  <c r="AF237" i="30"/>
  <c r="AF231" i="30"/>
  <c r="AF203" i="30"/>
  <c r="AF210" i="30"/>
  <c r="AF213" i="30"/>
  <c r="AF211" i="30"/>
  <c r="AF202" i="30"/>
  <c r="AF214" i="30"/>
  <c r="AF209" i="30"/>
  <c r="AF201" i="30"/>
  <c r="AF212" i="30"/>
  <c r="AL194" i="30"/>
  <c r="AL198" i="30" s="1"/>
  <c r="V198" i="30"/>
  <c r="AF257" i="30"/>
  <c r="V110" i="26"/>
  <c r="AD110" i="26" s="1"/>
  <c r="Z197" i="30"/>
  <c r="AE189" i="30"/>
  <c r="Y189" i="30"/>
  <c r="W189" i="30"/>
  <c r="AJ241" i="30"/>
  <c r="AL187" i="30"/>
  <c r="AL191" i="30" s="1"/>
  <c r="V191" i="30"/>
  <c r="J253" i="30"/>
  <c r="V101" i="26"/>
  <c r="AD101" i="26" s="1"/>
  <c r="T206" i="30"/>
  <c r="T247" i="30"/>
  <c r="T256" i="30"/>
  <c r="AG126" i="26"/>
  <c r="AC140" i="26"/>
  <c r="Y112" i="26"/>
  <c r="Y114" i="26" s="1"/>
  <c r="AG187" i="30"/>
  <c r="AG191" i="30" s="1"/>
  <c r="J18" i="28" s="1"/>
  <c r="Q191" i="30"/>
  <c r="AC112" i="26"/>
  <c r="AC114" i="26" s="1"/>
  <c r="AG100" i="26"/>
  <c r="AG112" i="26" s="1"/>
  <c r="AG114" i="26" s="1"/>
  <c r="AG115" i="26" s="1"/>
  <c r="H260" i="30"/>
  <c r="H281" i="30" s="1"/>
  <c r="Q257" i="30"/>
  <c r="AG257" i="30" s="1"/>
  <c r="R257" i="30"/>
  <c r="AH257" i="30" s="1"/>
  <c r="S107" i="26"/>
  <c r="T114" i="30"/>
  <c r="AJ95" i="30"/>
  <c r="AJ114" i="30" s="1"/>
  <c r="Q198" i="30"/>
  <c r="AG194" i="30"/>
  <c r="AG198" i="30" s="1"/>
  <c r="J19" i="28" s="1"/>
  <c r="AE257" i="30"/>
  <c r="AF62" i="30"/>
  <c r="AF91" i="30" s="1"/>
  <c r="P91" i="30"/>
  <c r="S105" i="26"/>
  <c r="AK187" i="30"/>
  <c r="AK191" i="30" s="1"/>
  <c r="U191" i="30"/>
  <c r="S104" i="26"/>
  <c r="V104" i="26"/>
  <c r="AD104" i="26" s="1"/>
  <c r="J29" i="10"/>
  <c r="AP197" i="30"/>
  <c r="O191" i="30"/>
  <c r="Y187" i="30"/>
  <c r="AE187" i="30"/>
  <c r="W187" i="30"/>
  <c r="L267" i="30"/>
  <c r="S191" i="30"/>
  <c r="AI187" i="30"/>
  <c r="AI191" i="30" s="1"/>
  <c r="K18" i="28" s="1"/>
  <c r="AJ62" i="30"/>
  <c r="AJ91" i="30" s="1"/>
  <c r="T91" i="30"/>
  <c r="AH201" i="30"/>
  <c r="AH223" i="30"/>
  <c r="AH224" i="30"/>
  <c r="AH237" i="30"/>
  <c r="AH214" i="30"/>
  <c r="AH218" i="30"/>
  <c r="AH219" i="30" s="1"/>
  <c r="AH208" i="30"/>
  <c r="AH212" i="30"/>
  <c r="AH205" i="30"/>
  <c r="AH240" i="30"/>
  <c r="AH204" i="30"/>
  <c r="AH202" i="30"/>
  <c r="AH231" i="30"/>
  <c r="AH211" i="30"/>
  <c r="AH233" i="30"/>
  <c r="AH209" i="30"/>
  <c r="AH234" i="30"/>
  <c r="AH210" i="30"/>
  <c r="AH203" i="30"/>
  <c r="AH213" i="30"/>
  <c r="AH239" i="30"/>
  <c r="AH232" i="30"/>
  <c r="AH207" i="30"/>
  <c r="J282" i="30"/>
  <c r="J284" i="30" s="1"/>
  <c r="J286" i="30"/>
  <c r="AJ235" i="30"/>
  <c r="T244" i="30"/>
  <c r="A227" i="30"/>
  <c r="A228" i="30" s="1"/>
  <c r="A229" i="30" s="1"/>
  <c r="A230" i="30" s="1"/>
  <c r="A231" i="30" s="1"/>
  <c r="A232" i="30" s="1"/>
  <c r="A233" i="30" s="1"/>
  <c r="A234" i="30" s="1"/>
  <c r="A235" i="30" s="1"/>
  <c r="A236" i="30" s="1"/>
  <c r="A237" i="30" s="1"/>
  <c r="A238" i="30" s="1"/>
  <c r="A239" i="30" s="1"/>
  <c r="A240" i="30" s="1"/>
  <c r="A241" i="30" s="1"/>
  <c r="A242" i="30" s="1"/>
  <c r="A243" i="30" s="1"/>
  <c r="A244" i="30" s="1"/>
  <c r="C20" i="28"/>
  <c r="G281" i="30"/>
  <c r="N140" i="26"/>
  <c r="M141" i="26" s="1"/>
  <c r="J59" i="10" s="1"/>
  <c r="N127" i="26"/>
  <c r="K56" i="10" s="1"/>
  <c r="R126" i="26"/>
  <c r="AB112" i="26"/>
  <c r="AB114" i="26" s="1"/>
  <c r="I282" i="30"/>
  <c r="I284" i="30" s="1"/>
  <c r="I286" i="30"/>
  <c r="V103" i="26"/>
  <c r="AF109" i="26"/>
  <c r="AE188" i="30"/>
  <c r="Y188" i="30"/>
  <c r="W188" i="30"/>
  <c r="AF248" i="30"/>
  <c r="V108" i="26"/>
  <c r="AD108" i="26" s="1"/>
  <c r="S121" i="26"/>
  <c r="Q122" i="26"/>
  <c r="Q70" i="30"/>
  <c r="AG70" i="30" s="1"/>
  <c r="Q80" i="30"/>
  <c r="AG80" i="30" s="1"/>
  <c r="Q107" i="30"/>
  <c r="AG107" i="30" s="1"/>
  <c r="Q103" i="30"/>
  <c r="AG103" i="30" s="1"/>
  <c r="Q62" i="30"/>
  <c r="Q99" i="30"/>
  <c r="AG99" i="30" s="1"/>
  <c r="Q78" i="30"/>
  <c r="AG78" i="30" s="1"/>
  <c r="Q88" i="30"/>
  <c r="AG88" i="30" s="1"/>
  <c r="Q101" i="30"/>
  <c r="AG101" i="30" s="1"/>
  <c r="Q74" i="30"/>
  <c r="AG74" i="30" s="1"/>
  <c r="Q72" i="30"/>
  <c r="AG72" i="30" s="1"/>
  <c r="Q86" i="30"/>
  <c r="AG86" i="30" s="1"/>
  <c r="Q97" i="30"/>
  <c r="AG97" i="30" s="1"/>
  <c r="Q113" i="30"/>
  <c r="AG113" i="30" s="1"/>
  <c r="Q68" i="30"/>
  <c r="AG68" i="30" s="1"/>
  <c r="Q95" i="30"/>
  <c r="Q66" i="30"/>
  <c r="AG66" i="30" s="1"/>
  <c r="Q105" i="30"/>
  <c r="AG105" i="30" s="1"/>
  <c r="Q235" i="30"/>
  <c r="Q64" i="30"/>
  <c r="AG64" i="30" s="1"/>
  <c r="Q90" i="30"/>
  <c r="AG90" i="30" s="1"/>
  <c r="Q76" i="30"/>
  <c r="AG76" i="30" s="1"/>
  <c r="Q111" i="30"/>
  <c r="AG111" i="30" s="1"/>
  <c r="Q82" i="30"/>
  <c r="AG82" i="30" s="1"/>
  <c r="Q84" i="30"/>
  <c r="AG84" i="30" s="1"/>
  <c r="AF191" i="30"/>
  <c r="AP187" i="30"/>
  <c r="AE190" i="30"/>
  <c r="Y190" i="30"/>
  <c r="W190" i="30"/>
  <c r="O112" i="26"/>
  <c r="O114" i="26" s="1"/>
  <c r="O115" i="26" s="1"/>
  <c r="L52" i="10" s="1"/>
  <c r="R248" i="30"/>
  <c r="AH248" i="30" s="1"/>
  <c r="H251" i="30"/>
  <c r="Q248" i="30"/>
  <c r="AG248" i="30" s="1"/>
  <c r="R114" i="30"/>
  <c r="AH95" i="30"/>
  <c r="AH114" i="30" s="1"/>
  <c r="AJ209" i="30"/>
  <c r="AJ202" i="30"/>
  <c r="AJ210" i="30"/>
  <c r="AJ231" i="30"/>
  <c r="AJ218" i="30"/>
  <c r="AJ219" i="30" s="1"/>
  <c r="AJ237" i="30"/>
  <c r="AJ233" i="30"/>
  <c r="AJ213" i="30"/>
  <c r="AJ223" i="30"/>
  <c r="AJ211" i="30"/>
  <c r="AJ208" i="30"/>
  <c r="AJ234" i="30"/>
  <c r="AJ203" i="30"/>
  <c r="AJ224" i="30"/>
  <c r="AJ207" i="30"/>
  <c r="AJ205" i="30"/>
  <c r="AJ212" i="30"/>
  <c r="AJ214" i="30"/>
  <c r="AJ201" i="30"/>
  <c r="AJ239" i="30"/>
  <c r="AJ232" i="30"/>
  <c r="AJ204" i="30"/>
  <c r="AJ240" i="30"/>
  <c r="AK194" i="30"/>
  <c r="AK198" i="30" s="1"/>
  <c r="U198" i="30"/>
  <c r="K241" i="30"/>
  <c r="K244" i="30" s="1"/>
  <c r="K257" i="30"/>
  <c r="K260" i="30" s="1"/>
  <c r="S108" i="26"/>
  <c r="AH235" i="30"/>
  <c r="S100" i="26"/>
  <c r="Q112" i="26"/>
  <c r="Q114" i="26" s="1"/>
  <c r="Q115" i="26" s="1"/>
  <c r="O62" i="30"/>
  <c r="O66" i="30"/>
  <c r="O82" i="30"/>
  <c r="O72" i="30"/>
  <c r="O86" i="30"/>
  <c r="O68" i="30"/>
  <c r="O113" i="30"/>
  <c r="O64" i="30"/>
  <c r="O70" i="30"/>
  <c r="O90" i="30"/>
  <c r="O78" i="30"/>
  <c r="O105" i="30"/>
  <c r="O74" i="30"/>
  <c r="O95" i="30"/>
  <c r="O88" i="30"/>
  <c r="O111" i="30"/>
  <c r="O101" i="30"/>
  <c r="O80" i="30"/>
  <c r="O103" i="30"/>
  <c r="O235" i="30"/>
  <c r="O84" i="30"/>
  <c r="O99" i="30"/>
  <c r="O76" i="30"/>
  <c r="O97" i="30"/>
  <c r="O107" i="30"/>
  <c r="R112" i="26"/>
  <c r="R114" i="26" s="1"/>
  <c r="R115" i="26" s="1"/>
  <c r="AE196" i="30"/>
  <c r="Y196" i="30"/>
  <c r="W196" i="30"/>
  <c r="S70" i="30"/>
  <c r="AI70" i="30" s="1"/>
  <c r="S80" i="30"/>
  <c r="AI80" i="30" s="1"/>
  <c r="S68" i="30"/>
  <c r="AI68" i="30" s="1"/>
  <c r="S99" i="30"/>
  <c r="AI99" i="30" s="1"/>
  <c r="S64" i="30"/>
  <c r="AI64" i="30" s="1"/>
  <c r="S90" i="30"/>
  <c r="AI90" i="30" s="1"/>
  <c r="S78" i="30"/>
  <c r="AI78" i="30" s="1"/>
  <c r="S88" i="30"/>
  <c r="AI88" i="30" s="1"/>
  <c r="S76" i="30"/>
  <c r="AI76" i="30" s="1"/>
  <c r="S72" i="30"/>
  <c r="AI72" i="30" s="1"/>
  <c r="S86" i="30"/>
  <c r="AI86" i="30" s="1"/>
  <c r="S97" i="30"/>
  <c r="AI97" i="30" s="1"/>
  <c r="S84" i="30"/>
  <c r="AI84" i="30" s="1"/>
  <c r="S66" i="30"/>
  <c r="AI66" i="30" s="1"/>
  <c r="S235" i="30"/>
  <c r="S62" i="30"/>
  <c r="S95" i="30"/>
  <c r="S105" i="30"/>
  <c r="AI105" i="30" s="1"/>
  <c r="S101" i="30"/>
  <c r="AI101" i="30" s="1"/>
  <c r="S113" i="30"/>
  <c r="AI113" i="30" s="1"/>
  <c r="S103" i="30"/>
  <c r="AI103" i="30" s="1"/>
  <c r="S111" i="30"/>
  <c r="AI111" i="30" s="1"/>
  <c r="S74" i="30"/>
  <c r="AI74" i="30" s="1"/>
  <c r="S107" i="30"/>
  <c r="AI107" i="30" s="1"/>
  <c r="S82" i="30"/>
  <c r="AI82" i="30" s="1"/>
  <c r="AE248" i="30"/>
  <c r="AI194" i="30"/>
  <c r="AI198" i="30" s="1"/>
  <c r="K19" i="28" s="1"/>
  <c r="S198" i="30"/>
  <c r="V111" i="26"/>
  <c r="AD111" i="26" s="1"/>
  <c r="AE236" i="30"/>
  <c r="AE54" i="30"/>
  <c r="AF235" i="30"/>
  <c r="V107" i="26"/>
  <c r="AD107" i="26" s="1"/>
  <c r="V105" i="26"/>
  <c r="AD105" i="26" s="1"/>
  <c r="I253" i="30"/>
  <c r="P114" i="30"/>
  <c r="AF95" i="30"/>
  <c r="AF114" i="30" s="1"/>
  <c r="V102" i="26"/>
  <c r="AD102" i="26" s="1"/>
  <c r="I141" i="26"/>
  <c r="F59" i="10" s="1"/>
  <c r="F29" i="10"/>
  <c r="F31" i="10" s="1"/>
  <c r="F79" i="10" s="1"/>
  <c r="AH62" i="30"/>
  <c r="AH91" i="30" s="1"/>
  <c r="R91" i="30"/>
  <c r="D29" i="10"/>
  <c r="D31" i="10" s="1"/>
  <c r="D79" i="10" s="1"/>
  <c r="AE241" i="30" s="1"/>
  <c r="G141" i="26"/>
  <c r="D59" i="10" s="1"/>
  <c r="AF241" i="30"/>
  <c r="M52" i="10"/>
  <c r="AB126" i="26"/>
  <c r="AC127" i="26" s="1"/>
  <c r="K67" i="10" s="1"/>
  <c r="AF124" i="26"/>
  <c r="AH124" i="26" s="1"/>
  <c r="AE194" i="30"/>
  <c r="O198" i="30"/>
  <c r="Y194" i="30"/>
  <c r="W194" i="30"/>
  <c r="H29" i="10"/>
  <c r="H31" i="10" s="1"/>
  <c r="H79" i="10" s="1"/>
  <c r="AI241" i="30" s="1"/>
  <c r="K141" i="26"/>
  <c r="H59" i="10" s="1"/>
  <c r="O126" i="26"/>
  <c r="Q124" i="26"/>
  <c r="S124" i="26" s="1"/>
  <c r="X112" i="26"/>
  <c r="X114" i="26" s="1"/>
  <c r="Y241" i="30" l="1"/>
  <c r="L251" i="30"/>
  <c r="L248" i="30"/>
  <c r="K253" i="30"/>
  <c r="K265" i="30" s="1"/>
  <c r="K266" i="30" s="1"/>
  <c r="AF110" i="26"/>
  <c r="AH110" i="26" s="1"/>
  <c r="AH109" i="26"/>
  <c r="Y198" i="30"/>
  <c r="AA197" i="30"/>
  <c r="AB197" i="30" s="1"/>
  <c r="AA195" i="30"/>
  <c r="AB195" i="30" s="1"/>
  <c r="AJ117" i="30"/>
  <c r="L14" i="28" s="1"/>
  <c r="J287" i="30"/>
  <c r="J263" i="30" s="1"/>
  <c r="U263" i="30" s="1"/>
  <c r="AK263" i="30" s="1"/>
  <c r="T117" i="30"/>
  <c r="R244" i="30"/>
  <c r="W241" i="30"/>
  <c r="Z241" i="30"/>
  <c r="AA189" i="30"/>
  <c r="AB189" i="30" s="1"/>
  <c r="Y248" i="30"/>
  <c r="W248" i="30"/>
  <c r="AM248" i="30"/>
  <c r="S112" i="26"/>
  <c r="S114" i="26" s="1"/>
  <c r="S115" i="26" s="1"/>
  <c r="Z191" i="30"/>
  <c r="L244" i="30"/>
  <c r="I287" i="30"/>
  <c r="I263" i="30" s="1"/>
  <c r="I265" i="30" s="1"/>
  <c r="I266" i="30" s="1"/>
  <c r="AA190" i="30"/>
  <c r="AB190" i="30" s="1"/>
  <c r="AP194" i="30"/>
  <c r="AP198" i="30" s="1"/>
  <c r="AA188" i="30"/>
  <c r="AB188" i="30" s="1"/>
  <c r="Z257" i="30"/>
  <c r="AD100" i="26"/>
  <c r="AH100" i="26" s="1"/>
  <c r="AF107" i="26"/>
  <c r="AH107" i="26" s="1"/>
  <c r="U256" i="30"/>
  <c r="U247" i="30"/>
  <c r="U206" i="30"/>
  <c r="K30" i="10"/>
  <c r="AG140" i="26"/>
  <c r="AE68" i="30"/>
  <c r="Y68" i="30"/>
  <c r="AD103" i="26"/>
  <c r="AF103" i="26"/>
  <c r="P215" i="30"/>
  <c r="P221" i="30" s="1"/>
  <c r="P226" i="30"/>
  <c r="AF206" i="30"/>
  <c r="AF215" i="30" s="1"/>
  <c r="AE198" i="30"/>
  <c r="I19" i="28" s="1"/>
  <c r="AM194" i="30"/>
  <c r="AO194" i="30"/>
  <c r="AE86" i="30"/>
  <c r="Y86" i="30"/>
  <c r="AF219" i="30"/>
  <c r="AK62" i="30"/>
  <c r="AK91" i="30" s="1"/>
  <c r="U91" i="30"/>
  <c r="P260" i="30"/>
  <c r="AF256" i="30"/>
  <c r="AF260" i="30" s="1"/>
  <c r="O140" i="26"/>
  <c r="O127" i="26"/>
  <c r="L56" i="10" s="1"/>
  <c r="Q126" i="26"/>
  <c r="R127" i="26" s="1"/>
  <c r="AO196" i="30"/>
  <c r="AM196" i="30"/>
  <c r="AE235" i="30"/>
  <c r="Y235" i="30"/>
  <c r="AE105" i="30"/>
  <c r="Y105" i="30"/>
  <c r="AE72" i="30"/>
  <c r="Y72" i="30"/>
  <c r="AO248" i="30"/>
  <c r="L241" i="30"/>
  <c r="Z248" i="30"/>
  <c r="L260" i="30"/>
  <c r="AF117" i="30"/>
  <c r="T260" i="30"/>
  <c r="AJ256" i="30"/>
  <c r="AJ260" i="30" s="1"/>
  <c r="L23" i="28" s="1"/>
  <c r="AF104" i="26"/>
  <c r="AH104" i="26" s="1"/>
  <c r="U114" i="30"/>
  <c r="AK95" i="30"/>
  <c r="AK114" i="30" s="1"/>
  <c r="AF247" i="30"/>
  <c r="AF251" i="30" s="1"/>
  <c r="P251" i="30"/>
  <c r="V112" i="26"/>
  <c r="V114" i="26" s="1"/>
  <c r="AE76" i="30"/>
  <c r="Y76" i="30"/>
  <c r="V72" i="30"/>
  <c r="W72" i="30" s="1"/>
  <c r="V88" i="30"/>
  <c r="W88" i="30" s="1"/>
  <c r="V103" i="30"/>
  <c r="W103" i="30" s="1"/>
  <c r="V66" i="30"/>
  <c r="W66" i="30" s="1"/>
  <c r="V68" i="30"/>
  <c r="V86" i="30"/>
  <c r="W86" i="30" s="1"/>
  <c r="V74" i="30"/>
  <c r="V90" i="30"/>
  <c r="W90" i="30" s="1"/>
  <c r="V107" i="30"/>
  <c r="W107" i="30" s="1"/>
  <c r="V105" i="30"/>
  <c r="V76" i="30"/>
  <c r="V95" i="30"/>
  <c r="W95" i="30" s="1"/>
  <c r="V111" i="30"/>
  <c r="V62" i="30"/>
  <c r="V78" i="30"/>
  <c r="V97" i="30"/>
  <c r="W97" i="30" s="1"/>
  <c r="V235" i="30"/>
  <c r="W235" i="30" s="1"/>
  <c r="V82" i="30"/>
  <c r="W82" i="30" s="1"/>
  <c r="V113" i="30"/>
  <c r="W113" i="30" s="1"/>
  <c r="V99" i="30"/>
  <c r="W99" i="30" s="1"/>
  <c r="V64" i="30"/>
  <c r="W64" i="30" s="1"/>
  <c r="V80" i="30"/>
  <c r="W80" i="30" s="1"/>
  <c r="V101" i="30"/>
  <c r="W101" i="30" s="1"/>
  <c r="V84" i="30"/>
  <c r="W84" i="30" s="1"/>
  <c r="V70" i="30"/>
  <c r="W70" i="30" s="1"/>
  <c r="AM189" i="30"/>
  <c r="AO189" i="30"/>
  <c r="AE99" i="30"/>
  <c r="Y99" i="30"/>
  <c r="AA196" i="30"/>
  <c r="AB196" i="30" s="1"/>
  <c r="AM190" i="30"/>
  <c r="AO190" i="30"/>
  <c r="AG62" i="30"/>
  <c r="AG91" i="30" s="1"/>
  <c r="Q91" i="30"/>
  <c r="AF108" i="26"/>
  <c r="AH108" i="26" s="1"/>
  <c r="P117" i="30"/>
  <c r="AF111" i="26"/>
  <c r="AH111" i="26" s="1"/>
  <c r="AF126" i="26"/>
  <c r="AG127" i="26" s="1"/>
  <c r="AB140" i="26"/>
  <c r="AC141" i="26" s="1"/>
  <c r="K71" i="10" s="1"/>
  <c r="AB127" i="26"/>
  <c r="J67" i="10" s="1"/>
  <c r="R117" i="30"/>
  <c r="AE103" i="30"/>
  <c r="Y103" i="30"/>
  <c r="AE78" i="30"/>
  <c r="Y78" i="30"/>
  <c r="AE82" i="30"/>
  <c r="Y82" i="30"/>
  <c r="AP191" i="30"/>
  <c r="AG235" i="30"/>
  <c r="AP248" i="30"/>
  <c r="G286" i="30"/>
  <c r="G282" i="30"/>
  <c r="G284" i="30" s="1"/>
  <c r="AA187" i="30"/>
  <c r="W191" i="30"/>
  <c r="AO257" i="30"/>
  <c r="AM257" i="30"/>
  <c r="T251" i="30"/>
  <c r="AJ247" i="30"/>
  <c r="AJ251" i="30" s="1"/>
  <c r="L22" i="28" s="1"/>
  <c r="AO197" i="30"/>
  <c r="AM197" i="30"/>
  <c r="AF102" i="26"/>
  <c r="AH102" i="26" s="1"/>
  <c r="AI62" i="30"/>
  <c r="AI91" i="30" s="1"/>
  <c r="S91" i="30"/>
  <c r="A245" i="30"/>
  <c r="A246" i="30" s="1"/>
  <c r="A247" i="30" s="1"/>
  <c r="A248" i="30" s="1"/>
  <c r="A249" i="30" s="1"/>
  <c r="A250" i="30" s="1"/>
  <c r="A251" i="30" s="1"/>
  <c r="C21" i="28"/>
  <c r="AE84" i="30"/>
  <c r="Y84" i="30"/>
  <c r="S206" i="30"/>
  <c r="S256" i="30"/>
  <c r="S247" i="30"/>
  <c r="AF106" i="26"/>
  <c r="AH106" i="26" s="1"/>
  <c r="AH117" i="30"/>
  <c r="AE80" i="30"/>
  <c r="Y80" i="30"/>
  <c r="AE90" i="30"/>
  <c r="Y90" i="30"/>
  <c r="AE66" i="30"/>
  <c r="Y66" i="30"/>
  <c r="AJ244" i="30"/>
  <c r="L21" i="28" s="1"/>
  <c r="AE191" i="30"/>
  <c r="I18" i="28" s="1"/>
  <c r="AM187" i="30"/>
  <c r="AO187" i="30"/>
  <c r="W257" i="30"/>
  <c r="AJ206" i="30"/>
  <c r="AJ215" i="30" s="1"/>
  <c r="AJ221" i="30" s="1"/>
  <c r="T215" i="30"/>
  <c r="T221" i="30" s="1"/>
  <c r="T226" i="30"/>
  <c r="AF105" i="26"/>
  <c r="AH105" i="26" s="1"/>
  <c r="H253" i="30"/>
  <c r="R215" i="30"/>
  <c r="R221" i="30" s="1"/>
  <c r="R226" i="30"/>
  <c r="AH206" i="30"/>
  <c r="AH226" i="30" s="1"/>
  <c r="AE113" i="30"/>
  <c r="Y113" i="30"/>
  <c r="AH244" i="30"/>
  <c r="AE204" i="30"/>
  <c r="AE208" i="30"/>
  <c r="AE223" i="30"/>
  <c r="AE203" i="30"/>
  <c r="AE218" i="30"/>
  <c r="AE219" i="30" s="1"/>
  <c r="AE213" i="30"/>
  <c r="AE224" i="30"/>
  <c r="AE209" i="30"/>
  <c r="AE211" i="30"/>
  <c r="AE240" i="30"/>
  <c r="AE231" i="30"/>
  <c r="AE233" i="30"/>
  <c r="AE212" i="30"/>
  <c r="AE239" i="30"/>
  <c r="AE205" i="30"/>
  <c r="AE207" i="30"/>
  <c r="AE214" i="30"/>
  <c r="AE201" i="30"/>
  <c r="AE237" i="30"/>
  <c r="AE202" i="30"/>
  <c r="AE210" i="30"/>
  <c r="AE234" i="30"/>
  <c r="AE232" i="30"/>
  <c r="R140" i="26"/>
  <c r="N141" i="26"/>
  <c r="K59" i="10" s="1"/>
  <c r="K29" i="10"/>
  <c r="AF101" i="26"/>
  <c r="AH101" i="26" s="1"/>
  <c r="AI218" i="30"/>
  <c r="AI219" i="30" s="1"/>
  <c r="AI210" i="30"/>
  <c r="AI240" i="30"/>
  <c r="AI239" i="30"/>
  <c r="AI224" i="30"/>
  <c r="AI237" i="30"/>
  <c r="AI204" i="30"/>
  <c r="AI212" i="30"/>
  <c r="AI223" i="30"/>
  <c r="AI202" i="30"/>
  <c r="AI214" i="30"/>
  <c r="AI203" i="30"/>
  <c r="AI231" i="30"/>
  <c r="AI208" i="30"/>
  <c r="AI205" i="30"/>
  <c r="AI234" i="30"/>
  <c r="AI211" i="30"/>
  <c r="AI201" i="30"/>
  <c r="AI233" i="30"/>
  <c r="AI232" i="30"/>
  <c r="AI209" i="30"/>
  <c r="AI213" i="30"/>
  <c r="AI207" i="30"/>
  <c r="AE107" i="30"/>
  <c r="Y107" i="30"/>
  <c r="AE101" i="30"/>
  <c r="Y101" i="30"/>
  <c r="AE70" i="30"/>
  <c r="Y70" i="30"/>
  <c r="O91" i="30"/>
  <c r="AE62" i="30"/>
  <c r="Y62" i="30"/>
  <c r="Y191" i="30"/>
  <c r="Y257" i="30"/>
  <c r="Z198" i="30"/>
  <c r="AF244" i="30"/>
  <c r="AM195" i="30"/>
  <c r="AO195" i="30"/>
  <c r="AH247" i="30"/>
  <c r="AH251" i="30" s="1"/>
  <c r="R251" i="30"/>
  <c r="AI95" i="30"/>
  <c r="AI114" i="30" s="1"/>
  <c r="S114" i="30"/>
  <c r="AE88" i="30"/>
  <c r="Y88" i="30"/>
  <c r="O114" i="30"/>
  <c r="AE95" i="30"/>
  <c r="Y95" i="30"/>
  <c r="H282" i="30"/>
  <c r="H284" i="30" s="1"/>
  <c r="H286" i="30"/>
  <c r="O256" i="30"/>
  <c r="O247" i="30"/>
  <c r="O206" i="30"/>
  <c r="AI235" i="30"/>
  <c r="S244" i="30"/>
  <c r="AE74" i="30"/>
  <c r="Y74" i="30"/>
  <c r="AG213" i="30"/>
  <c r="AG205" i="30"/>
  <c r="AG233" i="30"/>
  <c r="AG239" i="30"/>
  <c r="AG212" i="30"/>
  <c r="AG223" i="30"/>
  <c r="AG211" i="30"/>
  <c r="AG214" i="30"/>
  <c r="AG224" i="30"/>
  <c r="AG207" i="30"/>
  <c r="AG231" i="30"/>
  <c r="AG210" i="30"/>
  <c r="AG208" i="30"/>
  <c r="AG232" i="30"/>
  <c r="AG209" i="30"/>
  <c r="AG234" i="30"/>
  <c r="AG204" i="30"/>
  <c r="AG218" i="30"/>
  <c r="AG219" i="30" s="1"/>
  <c r="AG237" i="30"/>
  <c r="AG240" i="30"/>
  <c r="AG201" i="30"/>
  <c r="AG202" i="30"/>
  <c r="AG203" i="30"/>
  <c r="AM54" i="30"/>
  <c r="AM57" i="30" s="1"/>
  <c r="AO54" i="30"/>
  <c r="AE57" i="30"/>
  <c r="W198" i="30"/>
  <c r="Q256" i="30"/>
  <c r="Q247" i="30"/>
  <c r="Q206" i="30"/>
  <c r="AM236" i="30"/>
  <c r="AO236" i="30"/>
  <c r="AE97" i="30"/>
  <c r="Y97" i="30"/>
  <c r="AE111" i="30"/>
  <c r="Y111" i="30"/>
  <c r="AE64" i="30"/>
  <c r="Y64" i="30"/>
  <c r="AG95" i="30"/>
  <c r="AG114" i="30" s="1"/>
  <c r="Q114" i="30"/>
  <c r="L257" i="30"/>
  <c r="AO188" i="30"/>
  <c r="AM188" i="30"/>
  <c r="AA194" i="30"/>
  <c r="AP257" i="30"/>
  <c r="AG241" i="30"/>
  <c r="AK235" i="30"/>
  <c r="U244" i="30"/>
  <c r="AH256" i="30"/>
  <c r="AH260" i="30" s="1"/>
  <c r="R260" i="30"/>
  <c r="Y244" i="30" l="1"/>
  <c r="J265" i="30"/>
  <c r="J266" i="30" s="1"/>
  <c r="AA241" i="30"/>
  <c r="AB241" i="30" s="1"/>
  <c r="S263" i="30"/>
  <c r="AI263" i="30" s="1"/>
  <c r="K25" i="28" s="1"/>
  <c r="W244" i="30"/>
  <c r="AA248" i="30"/>
  <c r="AB248" i="30" s="1"/>
  <c r="T228" i="30"/>
  <c r="T267" i="30" s="1"/>
  <c r="AF226" i="30"/>
  <c r="AF228" i="30" s="1"/>
  <c r="AQ187" i="30"/>
  <c r="AR187" i="30" s="1"/>
  <c r="T263" i="30"/>
  <c r="AJ263" i="30" s="1"/>
  <c r="L25" i="28" s="1"/>
  <c r="AA257" i="30"/>
  <c r="AB257" i="30" s="1"/>
  <c r="AQ197" i="30"/>
  <c r="AR197" i="30" s="1"/>
  <c r="AK117" i="30"/>
  <c r="AQ236" i="30"/>
  <c r="AQ194" i="30"/>
  <c r="AR194" i="30" s="1"/>
  <c r="AQ190" i="30"/>
  <c r="AR190" i="30" s="1"/>
  <c r="AF221" i="30"/>
  <c r="AQ257" i="30"/>
  <c r="AR257" i="30" s="1"/>
  <c r="AQ196" i="30"/>
  <c r="AR196" i="30" s="1"/>
  <c r="Y114" i="30"/>
  <c r="AQ188" i="30"/>
  <c r="AR188" i="30" s="1"/>
  <c r="G287" i="30"/>
  <c r="G263" i="30" s="1"/>
  <c r="P263" i="30" s="1"/>
  <c r="AH103" i="26"/>
  <c r="AH112" i="26" s="1"/>
  <c r="AH114" i="26" s="1"/>
  <c r="AD112" i="26"/>
  <c r="AD114" i="26" s="1"/>
  <c r="AH228" i="30"/>
  <c r="AH253" i="30" s="1"/>
  <c r="AH215" i="30"/>
  <c r="AH221" i="30" s="1"/>
  <c r="AO107" i="30"/>
  <c r="AI117" i="30"/>
  <c r="AO78" i="30"/>
  <c r="AL74" i="30"/>
  <c r="AP74" i="30" s="1"/>
  <c r="Z74" i="30"/>
  <c r="AG244" i="30"/>
  <c r="J21" i="28" s="1"/>
  <c r="AO90" i="30"/>
  <c r="AL62" i="30"/>
  <c r="AM62" i="30" s="1"/>
  <c r="V91" i="30"/>
  <c r="Z62" i="30"/>
  <c r="AE114" i="30"/>
  <c r="AO95" i="30"/>
  <c r="AL111" i="30"/>
  <c r="AP111" i="30" s="1"/>
  <c r="Z111" i="30"/>
  <c r="AL68" i="30"/>
  <c r="AP68" i="30" s="1"/>
  <c r="Z68" i="30"/>
  <c r="AO235" i="30"/>
  <c r="K31" i="10"/>
  <c r="K79" i="10" s="1"/>
  <c r="AO64" i="30"/>
  <c r="AO57" i="30"/>
  <c r="H13" i="28" s="1"/>
  <c r="AQ54" i="30"/>
  <c r="O251" i="30"/>
  <c r="AE247" i="30"/>
  <c r="Y247" i="30"/>
  <c r="Y251" i="30" s="1"/>
  <c r="AQ195" i="30"/>
  <c r="AR195" i="30" s="1"/>
  <c r="AI244" i="30"/>
  <c r="K21" i="28" s="1"/>
  <c r="AO191" i="30"/>
  <c r="H18" i="28" s="1"/>
  <c r="G18" i="28" s="1"/>
  <c r="AO103" i="30"/>
  <c r="Q117" i="30"/>
  <c r="AO99" i="30"/>
  <c r="AL99" i="30"/>
  <c r="AP99" i="30" s="1"/>
  <c r="Z99" i="30"/>
  <c r="AA99" i="30" s="1"/>
  <c r="AB99" i="30" s="1"/>
  <c r="V114" i="30"/>
  <c r="AL95" i="30"/>
  <c r="AM95" i="30" s="1"/>
  <c r="Z95" i="30"/>
  <c r="AL66" i="30"/>
  <c r="AP66" i="30" s="1"/>
  <c r="Z66" i="30"/>
  <c r="AA66" i="30" s="1"/>
  <c r="AB66" i="30" s="1"/>
  <c r="AO86" i="30"/>
  <c r="S260" i="30"/>
  <c r="AI256" i="30"/>
  <c r="AI260" i="30" s="1"/>
  <c r="K23" i="28" s="1"/>
  <c r="AO97" i="30"/>
  <c r="P228" i="30"/>
  <c r="AO76" i="30"/>
  <c r="O215" i="30"/>
  <c r="O221" i="30" s="1"/>
  <c r="O226" i="30"/>
  <c r="AE206" i="30"/>
  <c r="AE215" i="30" s="1"/>
  <c r="AE221" i="30" s="1"/>
  <c r="Y206" i="30"/>
  <c r="AL64" i="30"/>
  <c r="AP64" i="30" s="1"/>
  <c r="Z64" i="30"/>
  <c r="AA64" i="30" s="1"/>
  <c r="AB64" i="30" s="1"/>
  <c r="W111" i="30"/>
  <c r="AG206" i="30"/>
  <c r="AG215" i="30" s="1"/>
  <c r="AG221" i="30" s="1"/>
  <c r="Q215" i="30"/>
  <c r="Q221" i="30" s="1"/>
  <c r="Q226" i="30"/>
  <c r="O260" i="30"/>
  <c r="AE256" i="30"/>
  <c r="Y256" i="30"/>
  <c r="Y260" i="30" s="1"/>
  <c r="W62" i="30"/>
  <c r="AM191" i="30"/>
  <c r="AO80" i="30"/>
  <c r="AO84" i="30"/>
  <c r="AJ226" i="30"/>
  <c r="R228" i="30"/>
  <c r="AG117" i="30"/>
  <c r="AQ189" i="30"/>
  <c r="AR189" i="30" s="1"/>
  <c r="AL113" i="30"/>
  <c r="AP113" i="30" s="1"/>
  <c r="Z113" i="30"/>
  <c r="AA113" i="30" s="1"/>
  <c r="AB113" i="30" s="1"/>
  <c r="AL76" i="30"/>
  <c r="AP76" i="30" s="1"/>
  <c r="Z76" i="30"/>
  <c r="Z103" i="30"/>
  <c r="AA103" i="30" s="1"/>
  <c r="AB103" i="30" s="1"/>
  <c r="AL103" i="30"/>
  <c r="AP103" i="30" s="1"/>
  <c r="AO72" i="30"/>
  <c r="U117" i="30"/>
  <c r="AO198" i="30"/>
  <c r="H19" i="28" s="1"/>
  <c r="G19" i="28" s="1"/>
  <c r="W68" i="30"/>
  <c r="AE244" i="30"/>
  <c r="I21" i="28" s="1"/>
  <c r="AB187" i="30"/>
  <c r="AA191" i="30"/>
  <c r="AB191" i="30" s="1"/>
  <c r="Z78" i="30"/>
  <c r="AL78" i="30"/>
  <c r="AP78" i="30" s="1"/>
  <c r="S215" i="30"/>
  <c r="S221" i="30" s="1"/>
  <c r="S226" i="30"/>
  <c r="AI206" i="30"/>
  <c r="AI215" i="30" s="1"/>
  <c r="AI221" i="30" s="1"/>
  <c r="AL80" i="30"/>
  <c r="AP80" i="30" s="1"/>
  <c r="Z80" i="30"/>
  <c r="AA80" i="30" s="1"/>
  <c r="AB80" i="30" s="1"/>
  <c r="AO70" i="30"/>
  <c r="V206" i="30"/>
  <c r="W206" i="30" s="1"/>
  <c r="V247" i="30"/>
  <c r="V256" i="30"/>
  <c r="AF112" i="26"/>
  <c r="AF114" i="26" s="1"/>
  <c r="AF115" i="26" s="1"/>
  <c r="Q251" i="30"/>
  <c r="AG247" i="30"/>
  <c r="AG251" i="30" s="1"/>
  <c r="J22" i="28" s="1"/>
  <c r="W74" i="30"/>
  <c r="Y91" i="30"/>
  <c r="AO101" i="30"/>
  <c r="AO82" i="30"/>
  <c r="AL82" i="30"/>
  <c r="AP82" i="30" s="1"/>
  <c r="Z82" i="30"/>
  <c r="AA82" i="30" s="1"/>
  <c r="AB82" i="30" s="1"/>
  <c r="AL105" i="30"/>
  <c r="AP105" i="30" s="1"/>
  <c r="Z105" i="30"/>
  <c r="AL88" i="30"/>
  <c r="AP88" i="30" s="1"/>
  <c r="Z88" i="30"/>
  <c r="AA88" i="30" s="1"/>
  <c r="AB88" i="30" s="1"/>
  <c r="W105" i="30"/>
  <c r="AM198" i="30"/>
  <c r="AK206" i="30"/>
  <c r="U226" i="30"/>
  <c r="U215" i="30"/>
  <c r="U221" i="30" s="1"/>
  <c r="AL101" i="30"/>
  <c r="AP101" i="30" s="1"/>
  <c r="Z101" i="30"/>
  <c r="AA101" i="30" s="1"/>
  <c r="AB101" i="30" s="1"/>
  <c r="O141" i="26"/>
  <c r="L59" i="10" s="1"/>
  <c r="L29" i="10"/>
  <c r="Q140" i="26"/>
  <c r="R141" i="26" s="1"/>
  <c r="Q260" i="30"/>
  <c r="AG256" i="30"/>
  <c r="AG260" i="30" s="1"/>
  <c r="J23" i="28" s="1"/>
  <c r="AE91" i="30"/>
  <c r="AO62" i="30"/>
  <c r="AO113" i="30"/>
  <c r="AO66" i="30"/>
  <c r="C22" i="28"/>
  <c r="A252" i="30"/>
  <c r="A253" i="30" s="1"/>
  <c r="A254" i="30" s="1"/>
  <c r="A255" i="30" s="1"/>
  <c r="A256" i="30" s="1"/>
  <c r="A257" i="30" s="1"/>
  <c r="A258" i="30" s="1"/>
  <c r="A259" i="30" s="1"/>
  <c r="A260" i="30" s="1"/>
  <c r="AQ248" i="30"/>
  <c r="AR248" i="30" s="1"/>
  <c r="AF140" i="26"/>
  <c r="AG141" i="26" s="1"/>
  <c r="AB141" i="26"/>
  <c r="J71" i="10" s="1"/>
  <c r="J30" i="10"/>
  <c r="AL70" i="30"/>
  <c r="AP70" i="30" s="1"/>
  <c r="Z70" i="30"/>
  <c r="AA70" i="30" s="1"/>
  <c r="AB70" i="30" s="1"/>
  <c r="AL235" i="30"/>
  <c r="AP235" i="30" s="1"/>
  <c r="Z235" i="30"/>
  <c r="V244" i="30"/>
  <c r="AL107" i="30"/>
  <c r="AP107" i="30" s="1"/>
  <c r="Z107" i="30"/>
  <c r="AA107" i="30" s="1"/>
  <c r="AB107" i="30" s="1"/>
  <c r="AL72" i="30"/>
  <c r="AP72" i="30" s="1"/>
  <c r="Z72" i="30"/>
  <c r="AA72" i="30" s="1"/>
  <c r="AB72" i="30" s="1"/>
  <c r="Q127" i="26"/>
  <c r="S126" i="26"/>
  <c r="AO68" i="30"/>
  <c r="AK247" i="30"/>
  <c r="AK251" i="30" s="1"/>
  <c r="U251" i="30"/>
  <c r="AA198" i="30"/>
  <c r="AB198" i="30" s="1"/>
  <c r="AB194" i="30"/>
  <c r="Z86" i="30"/>
  <c r="AA86" i="30" s="1"/>
  <c r="AB86" i="30" s="1"/>
  <c r="AL86" i="30"/>
  <c r="AP86" i="30" s="1"/>
  <c r="I13" i="28"/>
  <c r="L253" i="30"/>
  <c r="AO111" i="30"/>
  <c r="AO88" i="30"/>
  <c r="AO74" i="30"/>
  <c r="H287" i="30"/>
  <c r="H263" i="30" s="1"/>
  <c r="O117" i="30"/>
  <c r="V263" i="30"/>
  <c r="AL263" i="30" s="1"/>
  <c r="AI247" i="30"/>
  <c r="AI251" i="30" s="1"/>
  <c r="K22" i="28" s="1"/>
  <c r="S251" i="30"/>
  <c r="S117" i="30"/>
  <c r="W78" i="30"/>
  <c r="AH126" i="26"/>
  <c r="AF127" i="26"/>
  <c r="AL84" i="30"/>
  <c r="AP84" i="30" s="1"/>
  <c r="Z84" i="30"/>
  <c r="AA84" i="30" s="1"/>
  <c r="AB84" i="30" s="1"/>
  <c r="AL97" i="30"/>
  <c r="AP97" i="30" s="1"/>
  <c r="Z97" i="30"/>
  <c r="AA97" i="30" s="1"/>
  <c r="AB97" i="30" s="1"/>
  <c r="AL90" i="30"/>
  <c r="AP90" i="30" s="1"/>
  <c r="Z90" i="30"/>
  <c r="AA90" i="30" s="1"/>
  <c r="AB90" i="30" s="1"/>
  <c r="W76" i="30"/>
  <c r="AO105" i="30"/>
  <c r="U260" i="30"/>
  <c r="AK256" i="30"/>
  <c r="AK260" i="30" s="1"/>
  <c r="G13" i="28" l="1"/>
  <c r="O263" i="30"/>
  <c r="AE263" i="30" s="1"/>
  <c r="T253" i="30"/>
  <c r="T265" i="30" s="1"/>
  <c r="T266" i="30" s="1"/>
  <c r="AM111" i="30"/>
  <c r="AQ111" i="30" s="1"/>
  <c r="AR111" i="30" s="1"/>
  <c r="AH267" i="30"/>
  <c r="G35" i="10" s="1"/>
  <c r="AF253" i="30"/>
  <c r="AF267" i="30"/>
  <c r="E35" i="10" s="1"/>
  <c r="AM105" i="30"/>
  <c r="AQ105" i="30" s="1"/>
  <c r="AR105" i="30" s="1"/>
  <c r="V117" i="30"/>
  <c r="AA68" i="30"/>
  <c r="AB68" i="30" s="1"/>
  <c r="Y117" i="30"/>
  <c r="W114" i="30"/>
  <c r="E263" i="30"/>
  <c r="L263" i="30" s="1"/>
  <c r="AE117" i="30"/>
  <c r="I14" i="28" s="1"/>
  <c r="AA105" i="30"/>
  <c r="AB105" i="30" s="1"/>
  <c r="AM74" i="30"/>
  <c r="AQ74" i="30" s="1"/>
  <c r="AR74" i="30" s="1"/>
  <c r="AM68" i="30"/>
  <c r="AQ68" i="30" s="1"/>
  <c r="AR68" i="30" s="1"/>
  <c r="H265" i="30"/>
  <c r="H266" i="30" s="1"/>
  <c r="G265" i="30"/>
  <c r="G266" i="30" s="1"/>
  <c r="AA76" i="30"/>
  <c r="AB76" i="30" s="1"/>
  <c r="AM113" i="30"/>
  <c r="AQ113" i="30" s="1"/>
  <c r="AR113" i="30" s="1"/>
  <c r="U228" i="30"/>
  <c r="U253" i="30" s="1"/>
  <c r="U265" i="30" s="1"/>
  <c r="U266" i="30" s="1"/>
  <c r="AM76" i="30"/>
  <c r="AQ76" i="30" s="1"/>
  <c r="AR76" i="30" s="1"/>
  <c r="AM107" i="30"/>
  <c r="AQ107" i="30" s="1"/>
  <c r="AR107" i="30" s="1"/>
  <c r="AQ198" i="30"/>
  <c r="AR198" i="30" s="1"/>
  <c r="AM66" i="30"/>
  <c r="AQ66" i="30" s="1"/>
  <c r="AR66" i="30" s="1"/>
  <c r="AM235" i="30"/>
  <c r="AQ235" i="30" s="1"/>
  <c r="AR235" i="30" s="1"/>
  <c r="AE226" i="30"/>
  <c r="I20" i="28" s="1"/>
  <c r="W215" i="30"/>
  <c r="W221" i="30" s="1"/>
  <c r="W226" i="30"/>
  <c r="K14" i="28"/>
  <c r="AO91" i="30"/>
  <c r="V260" i="30"/>
  <c r="AL256" i="30"/>
  <c r="AM256" i="30" s="1"/>
  <c r="AM260" i="30" s="1"/>
  <c r="Z256" i="30"/>
  <c r="AM84" i="30"/>
  <c r="AQ84" i="30" s="1"/>
  <c r="AR84" i="30" s="1"/>
  <c r="Y215" i="30"/>
  <c r="Y221" i="30" s="1"/>
  <c r="Y226" i="30"/>
  <c r="AM86" i="30"/>
  <c r="AQ86" i="30" s="1"/>
  <c r="AR86" i="30" s="1"/>
  <c r="Z91" i="30"/>
  <c r="AA62" i="30"/>
  <c r="AF263" i="30"/>
  <c r="AM101" i="30"/>
  <c r="AQ101" i="30" s="1"/>
  <c r="AR101" i="30" s="1"/>
  <c r="Z247" i="30"/>
  <c r="AL247" i="30"/>
  <c r="AM247" i="30" s="1"/>
  <c r="AM251" i="30" s="1"/>
  <c r="V251" i="30"/>
  <c r="AM80" i="30"/>
  <c r="AQ80" i="30" s="1"/>
  <c r="AR80" i="30" s="1"/>
  <c r="AM99" i="30"/>
  <c r="AQ99" i="30" s="1"/>
  <c r="AR99" i="30" s="1"/>
  <c r="W247" i="30"/>
  <c r="W251" i="30" s="1"/>
  <c r="AA111" i="30"/>
  <c r="AB111" i="30" s="1"/>
  <c r="A261" i="30"/>
  <c r="A262" i="30" s="1"/>
  <c r="A263" i="30" s="1"/>
  <c r="C23" i="28"/>
  <c r="AE260" i="30"/>
  <c r="I23" i="28" s="1"/>
  <c r="AO256" i="30"/>
  <c r="AO260" i="30" s="1"/>
  <c r="H23" i="28" s="1"/>
  <c r="S228" i="30"/>
  <c r="AM64" i="30"/>
  <c r="AQ64" i="30" s="1"/>
  <c r="AR64" i="30" s="1"/>
  <c r="AM88" i="30"/>
  <c r="AQ88" i="30" s="1"/>
  <c r="AR88" i="30" s="1"/>
  <c r="AG226" i="30"/>
  <c r="J20" i="28" s="1"/>
  <c r="V226" i="30"/>
  <c r="V215" i="30"/>
  <c r="V221" i="30" s="1"/>
  <c r="AL206" i="30"/>
  <c r="AP206" i="30" s="1"/>
  <c r="Z206" i="30"/>
  <c r="AO206" i="30"/>
  <c r="Q228" i="30"/>
  <c r="AL91" i="30"/>
  <c r="AP62" i="30"/>
  <c r="AA74" i="30"/>
  <c r="AB74" i="30" s="1"/>
  <c r="AI226" i="30"/>
  <c r="K20" i="28" s="1"/>
  <c r="AA235" i="30"/>
  <c r="Z244" i="30"/>
  <c r="P267" i="30"/>
  <c r="P253" i="30"/>
  <c r="P265" i="30" s="1"/>
  <c r="P266" i="30" s="1"/>
  <c r="AM72" i="30"/>
  <c r="AQ72" i="30" s="1"/>
  <c r="AR72" i="30" s="1"/>
  <c r="AE251" i="30"/>
  <c r="I22" i="28" s="1"/>
  <c r="AO247" i="30"/>
  <c r="AO251" i="30" s="1"/>
  <c r="H22" i="28" s="1"/>
  <c r="AQ191" i="30"/>
  <c r="AR191" i="30" s="1"/>
  <c r="O228" i="30"/>
  <c r="T268" i="30"/>
  <c r="I34" i="10"/>
  <c r="L31" i="10"/>
  <c r="L79" i="10" s="1"/>
  <c r="M29" i="10"/>
  <c r="AM82" i="30"/>
  <c r="AQ82" i="30" s="1"/>
  <c r="AR82" i="30" s="1"/>
  <c r="AM70" i="30"/>
  <c r="AQ70" i="30" s="1"/>
  <c r="AR70" i="30" s="1"/>
  <c r="AA78" i="30"/>
  <c r="AB78" i="30" s="1"/>
  <c r="J14" i="28"/>
  <c r="W91" i="30"/>
  <c r="AM97" i="30"/>
  <c r="AQ97" i="30" s="1"/>
  <c r="AR97" i="30" s="1"/>
  <c r="AL114" i="30"/>
  <c r="AP95" i="30"/>
  <c r="AM103" i="30"/>
  <c r="AQ103" i="30" s="1"/>
  <c r="AR103" i="30" s="1"/>
  <c r="AL214" i="30"/>
  <c r="AP214" i="30" s="1"/>
  <c r="AL232" i="30"/>
  <c r="AP232" i="30" s="1"/>
  <c r="AL201" i="30"/>
  <c r="AL231" i="30"/>
  <c r="AL207" i="30"/>
  <c r="AP207" i="30" s="1"/>
  <c r="AL209" i="30"/>
  <c r="AP209" i="30" s="1"/>
  <c r="AL241" i="30"/>
  <c r="AP241" i="30" s="1"/>
  <c r="AL240" i="30"/>
  <c r="AP240" i="30" s="1"/>
  <c r="AL233" i="30"/>
  <c r="AP233" i="30" s="1"/>
  <c r="AL237" i="30"/>
  <c r="AP237" i="30" s="1"/>
  <c r="AL210" i="30"/>
  <c r="AP210" i="30" s="1"/>
  <c r="AL234" i="30"/>
  <c r="AP234" i="30" s="1"/>
  <c r="AL204" i="30"/>
  <c r="AP204" i="30" s="1"/>
  <c r="AL203" i="30"/>
  <c r="AP203" i="30" s="1"/>
  <c r="AL202" i="30"/>
  <c r="AP202" i="30" s="1"/>
  <c r="AL208" i="30"/>
  <c r="AP208" i="30" s="1"/>
  <c r="AL205" i="30"/>
  <c r="AP205" i="30" s="1"/>
  <c r="AL212" i="30"/>
  <c r="AP212" i="30" s="1"/>
  <c r="AL223" i="30"/>
  <c r="AL213" i="30"/>
  <c r="AP213" i="30" s="1"/>
  <c r="AL224" i="30"/>
  <c r="AP224" i="30" s="1"/>
  <c r="AL218" i="30"/>
  <c r="AL211" i="30"/>
  <c r="AP211" i="30" s="1"/>
  <c r="AL239" i="30"/>
  <c r="AP239" i="30" s="1"/>
  <c r="AO114" i="30"/>
  <c r="L20" i="28"/>
  <c r="L24" i="28" s="1"/>
  <c r="L26" i="28" s="1"/>
  <c r="L33" i="28" s="1"/>
  <c r="L32" i="28" s="1"/>
  <c r="L34" i="28" s="1"/>
  <c r="L35" i="28" s="1"/>
  <c r="L36" i="28" s="1"/>
  <c r="AJ228" i="30"/>
  <c r="AM90" i="30"/>
  <c r="AQ90" i="30" s="1"/>
  <c r="AR90" i="30" s="1"/>
  <c r="J31" i="10"/>
  <c r="J79" i="10" s="1"/>
  <c r="M30" i="10"/>
  <c r="Q141" i="26"/>
  <c r="S140" i="26"/>
  <c r="AA95" i="30"/>
  <c r="Z114" i="30"/>
  <c r="Q263" i="30"/>
  <c r="AG263" i="30" s="1"/>
  <c r="J25" i="28" s="1"/>
  <c r="R263" i="30"/>
  <c r="AH263" i="30" s="1"/>
  <c r="AH265" i="30" s="1"/>
  <c r="AH266" i="30" s="1"/>
  <c r="AH140" i="26"/>
  <c r="AF141" i="26"/>
  <c r="R253" i="30"/>
  <c r="R267" i="30"/>
  <c r="W256" i="30"/>
  <c r="W260" i="30" s="1"/>
  <c r="AQ57" i="30"/>
  <c r="AR57" i="30" s="1"/>
  <c r="AR54" i="30"/>
  <c r="AM78" i="30"/>
  <c r="AQ78" i="30" s="1"/>
  <c r="AR78" i="30" s="1"/>
  <c r="G23" i="28" l="1"/>
  <c r="G22" i="28"/>
  <c r="AF265" i="30"/>
  <c r="AF266" i="30" s="1"/>
  <c r="AE228" i="30"/>
  <c r="AE267" i="30" s="1"/>
  <c r="D35" i="10" s="1"/>
  <c r="Y228" i="30"/>
  <c r="Y253" i="30" s="1"/>
  <c r="W117" i="30"/>
  <c r="W228" i="30" s="1"/>
  <c r="W267" i="30" s="1"/>
  <c r="E265" i="30"/>
  <c r="E266" i="30" s="1"/>
  <c r="L266" i="30" s="1"/>
  <c r="V228" i="30"/>
  <c r="V267" i="30" s="1"/>
  <c r="R265" i="30"/>
  <c r="R266" i="30" s="1"/>
  <c r="U267" i="30"/>
  <c r="U268" i="30" s="1"/>
  <c r="Z117" i="30"/>
  <c r="I24" i="28"/>
  <c r="AG228" i="30"/>
  <c r="AG253" i="30" s="1"/>
  <c r="AG265" i="30" s="1"/>
  <c r="AG266" i="30" s="1"/>
  <c r="S267" i="30"/>
  <c r="S253" i="30"/>
  <c r="S265" i="30" s="1"/>
  <c r="S266" i="30" s="1"/>
  <c r="AA91" i="30"/>
  <c r="AB62" i="30"/>
  <c r="AP114" i="30"/>
  <c r="AQ95" i="30"/>
  <c r="AM114" i="30"/>
  <c r="AQ62" i="30"/>
  <c r="AP91" i="30"/>
  <c r="Y263" i="30"/>
  <c r="A264" i="30"/>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C25" i="28"/>
  <c r="Z251" i="30"/>
  <c r="AA247" i="30"/>
  <c r="I25" i="28"/>
  <c r="AO263" i="30"/>
  <c r="AM91" i="30"/>
  <c r="AB95" i="30"/>
  <c r="AA114" i="30"/>
  <c r="AB114" i="30" s="1"/>
  <c r="AB235" i="30"/>
  <c r="AA244" i="30"/>
  <c r="AB244" i="30" s="1"/>
  <c r="Q267" i="30"/>
  <c r="Q253" i="30"/>
  <c r="Q265" i="30" s="1"/>
  <c r="Q266" i="30" s="1"/>
  <c r="J24" i="28"/>
  <c r="Z263" i="30"/>
  <c r="AO117" i="30"/>
  <c r="W263" i="30"/>
  <c r="AL251" i="30"/>
  <c r="AP247" i="30"/>
  <c r="AL219" i="30"/>
  <c r="AP218" i="30"/>
  <c r="AL117" i="30"/>
  <c r="AJ267" i="30"/>
  <c r="I35" i="10" s="1"/>
  <c r="I36" i="10" s="1"/>
  <c r="I80" i="10" s="1"/>
  <c r="AJ253" i="30"/>
  <c r="AJ265" i="30" s="1"/>
  <c r="AJ266" i="30" s="1"/>
  <c r="AL244" i="30"/>
  <c r="AP231" i="30"/>
  <c r="AI228" i="30"/>
  <c r="AL226" i="30"/>
  <c r="AP223" i="30"/>
  <c r="AP201" i="30"/>
  <c r="AL215" i="30"/>
  <c r="M31" i="10"/>
  <c r="AP263" i="30"/>
  <c r="AA206" i="30"/>
  <c r="Z226" i="30"/>
  <c r="Z215" i="30"/>
  <c r="Z221" i="30" s="1"/>
  <c r="AL260" i="30"/>
  <c r="AP256" i="30"/>
  <c r="P268" i="30"/>
  <c r="E34" i="10"/>
  <c r="E36" i="10" s="1"/>
  <c r="E80" i="10" s="1"/>
  <c r="AM206" i="30"/>
  <c r="AQ206" i="30" s="1"/>
  <c r="AR206" i="30" s="1"/>
  <c r="K24" i="28"/>
  <c r="G34" i="10"/>
  <c r="G36" i="10" s="1"/>
  <c r="G80" i="10" s="1"/>
  <c r="R268" i="30"/>
  <c r="AK202" i="30"/>
  <c r="AK209" i="30"/>
  <c r="AK233" i="30"/>
  <c r="AK201" i="30"/>
  <c r="AK212" i="30"/>
  <c r="AK210" i="30"/>
  <c r="AK203" i="30"/>
  <c r="AK234" i="30"/>
  <c r="AK237" i="30"/>
  <c r="AK218" i="30"/>
  <c r="AK205" i="30"/>
  <c r="AK239" i="30"/>
  <c r="AK211" i="30"/>
  <c r="AK241" i="30"/>
  <c r="AK231" i="30"/>
  <c r="AK232" i="30"/>
  <c r="AK213" i="30"/>
  <c r="AK204" i="30"/>
  <c r="AK214" i="30"/>
  <c r="AK208" i="30"/>
  <c r="AK224" i="30"/>
  <c r="AK223" i="30"/>
  <c r="AK240" i="30"/>
  <c r="AK207" i="30"/>
  <c r="O267" i="30"/>
  <c r="O253" i="30"/>
  <c r="O265" i="30" s="1"/>
  <c r="O266" i="30" s="1"/>
  <c r="AM263" i="30"/>
  <c r="Z260" i="30"/>
  <c r="AA256" i="30"/>
  <c r="J26" i="28" l="1"/>
  <c r="K26" i="28"/>
  <c r="I26" i="28"/>
  <c r="Y267" i="30"/>
  <c r="AE253" i="30"/>
  <c r="AE265" i="30" s="1"/>
  <c r="AE266" i="30" s="1"/>
  <c r="V253" i="30"/>
  <c r="V265" i="30" s="1"/>
  <c r="V266" i="30" s="1"/>
  <c r="W253" i="30"/>
  <c r="W265" i="30" s="1"/>
  <c r="W266" i="30" s="1"/>
  <c r="Z228" i="30"/>
  <c r="Z267" i="30" s="1"/>
  <c r="J34" i="10"/>
  <c r="L265" i="30"/>
  <c r="Y265" i="30"/>
  <c r="Y266" i="30" s="1"/>
  <c r="AG267" i="30"/>
  <c r="F35" i="10" s="1"/>
  <c r="AL228" i="30"/>
  <c r="AL253" i="30" s="1"/>
  <c r="AL265" i="30" s="1"/>
  <c r="AL266" i="30" s="1"/>
  <c r="AM202" i="30"/>
  <c r="AO202" i="30"/>
  <c r="AO232" i="30"/>
  <c r="AM232" i="30"/>
  <c r="AO240" i="30"/>
  <c r="AM240" i="30"/>
  <c r="AK244" i="30"/>
  <c r="AM231" i="30"/>
  <c r="AO231" i="30"/>
  <c r="AO203" i="30"/>
  <c r="AM203" i="30"/>
  <c r="AQ263" i="30"/>
  <c r="AR263" i="30" s="1"/>
  <c r="W268" i="30"/>
  <c r="L34" i="10"/>
  <c r="AP219" i="30"/>
  <c r="H14" i="28"/>
  <c r="AA251" i="30"/>
  <c r="AB251" i="30" s="1"/>
  <c r="AB247" i="30"/>
  <c r="AQ114" i="30"/>
  <c r="AR114" i="30" s="1"/>
  <c r="AR95" i="30"/>
  <c r="AA260" i="30"/>
  <c r="AB260" i="30" s="1"/>
  <c r="AB256" i="30"/>
  <c r="AK226" i="30"/>
  <c r="AK228" i="30" s="1"/>
  <c r="AO223" i="30"/>
  <c r="AM223" i="30"/>
  <c r="AO241" i="30"/>
  <c r="AM241" i="30"/>
  <c r="AO210" i="30"/>
  <c r="AM210" i="30"/>
  <c r="AP244" i="30"/>
  <c r="AA263" i="30"/>
  <c r="AB263" i="30" s="1"/>
  <c r="AP215" i="30"/>
  <c r="AM234" i="30"/>
  <c r="AO234" i="30"/>
  <c r="AA226" i="30"/>
  <c r="AB226" i="30" s="1"/>
  <c r="AA215" i="30"/>
  <c r="AB206" i="30"/>
  <c r="AO224" i="30"/>
  <c r="AM224" i="30"/>
  <c r="AO211" i="30"/>
  <c r="AM211" i="30"/>
  <c r="AO212" i="30"/>
  <c r="AM212" i="30"/>
  <c r="AO237" i="30"/>
  <c r="AM237" i="30"/>
  <c r="AO239" i="30"/>
  <c r="AM239" i="30"/>
  <c r="AM117" i="30"/>
  <c r="AM233" i="30"/>
  <c r="AO233" i="30"/>
  <c r="AI253" i="30"/>
  <c r="AI265" i="30" s="1"/>
  <c r="AI266" i="30" s="1"/>
  <c r="AI267" i="30"/>
  <c r="H35" i="10" s="1"/>
  <c r="AQ247" i="30"/>
  <c r="AP251" i="30"/>
  <c r="F34" i="10"/>
  <c r="Q268" i="30"/>
  <c r="K34" i="10"/>
  <c r="V268" i="30"/>
  <c r="AM213" i="30"/>
  <c r="AO213" i="30"/>
  <c r="AR62" i="30"/>
  <c r="AQ91" i="30"/>
  <c r="AO207" i="30"/>
  <c r="AM207" i="30"/>
  <c r="AP226" i="30"/>
  <c r="AM208" i="30"/>
  <c r="AO208" i="30"/>
  <c r="AK215" i="30"/>
  <c r="AO201" i="30"/>
  <c r="AM201" i="30"/>
  <c r="AP260" i="30"/>
  <c r="AQ256" i="30"/>
  <c r="AB91" i="30"/>
  <c r="AA117" i="30"/>
  <c r="AM214" i="30"/>
  <c r="AO214" i="30"/>
  <c r="AM205" i="30"/>
  <c r="AO205" i="30"/>
  <c r="D34" i="10"/>
  <c r="D36" i="10" s="1"/>
  <c r="D80" i="10" s="1"/>
  <c r="O268" i="30"/>
  <c r="AM204" i="30"/>
  <c r="AO204" i="30"/>
  <c r="AK219" i="30"/>
  <c r="AO218" i="30"/>
  <c r="AO219" i="30" s="1"/>
  <c r="AM218" i="30"/>
  <c r="AM219" i="30" s="1"/>
  <c r="AO209" i="30"/>
  <c r="AM209" i="30"/>
  <c r="AL221" i="30"/>
  <c r="AP117" i="30"/>
  <c r="S268" i="30"/>
  <c r="H34" i="10"/>
  <c r="J33" i="28" l="1"/>
  <c r="J32" i="28" s="1"/>
  <c r="J34" i="28" s="1"/>
  <c r="J35" i="28" s="1"/>
  <c r="J36" i="28" s="1"/>
  <c r="I33" i="28"/>
  <c r="I32" i="28" s="1"/>
  <c r="I34" i="28" s="1"/>
  <c r="I35" i="28" s="1"/>
  <c r="I36" i="28" s="1"/>
  <c r="K33" i="28"/>
  <c r="K32" i="28" s="1"/>
  <c r="K34" i="28" s="1"/>
  <c r="K35" i="28" s="1"/>
  <c r="K36" i="28" s="1"/>
  <c r="AP228" i="30"/>
  <c r="AP253" i="30" s="1"/>
  <c r="AP265" i="30" s="1"/>
  <c r="Z253" i="30"/>
  <c r="Z265" i="30" s="1"/>
  <c r="Z266" i="30" s="1"/>
  <c r="AQ211" i="30"/>
  <c r="AR211" i="30" s="1"/>
  <c r="AP221" i="30"/>
  <c r="AQ205" i="30"/>
  <c r="AR205" i="30" s="1"/>
  <c r="AQ201" i="30"/>
  <c r="AR201" i="30" s="1"/>
  <c r="AQ208" i="30"/>
  <c r="AR208" i="30" s="1"/>
  <c r="AQ240" i="30"/>
  <c r="AR240" i="30" s="1"/>
  <c r="AQ214" i="30"/>
  <c r="AR214" i="30" s="1"/>
  <c r="AK221" i="30"/>
  <c r="AQ237" i="30"/>
  <c r="AR237" i="30" s="1"/>
  <c r="AQ231" i="30"/>
  <c r="AR231" i="30" s="1"/>
  <c r="AQ204" i="30"/>
  <c r="AR204" i="30" s="1"/>
  <c r="AQ233" i="30"/>
  <c r="AR233" i="30" s="1"/>
  <c r="AQ234" i="30"/>
  <c r="AR234" i="30" s="1"/>
  <c r="F36" i="10"/>
  <c r="F80" i="10" s="1"/>
  <c r="AL267" i="30"/>
  <c r="K35" i="10" s="1"/>
  <c r="K36" i="10" s="1"/>
  <c r="K80" i="10" s="1"/>
  <c r="AA228" i="30"/>
  <c r="AB117" i="30"/>
  <c r="AQ251" i="30"/>
  <c r="AR251" i="30" s="1"/>
  <c r="AR247" i="30"/>
  <c r="AM226" i="30"/>
  <c r="AM228" i="30" s="1"/>
  <c r="AQ223" i="30"/>
  <c r="AR223" i="30" s="1"/>
  <c r="AQ213" i="30"/>
  <c r="AR213" i="30" s="1"/>
  <c r="H36" i="10"/>
  <c r="H80" i="10" s="1"/>
  <c r="AO226" i="30"/>
  <c r="AQ203" i="30"/>
  <c r="AR203" i="30" s="1"/>
  <c r="AQ232" i="30"/>
  <c r="AR232" i="30" s="1"/>
  <c r="AQ239" i="30"/>
  <c r="AR239" i="30" s="1"/>
  <c r="AQ260" i="30"/>
  <c r="AR260" i="30" s="1"/>
  <c r="AR256" i="30"/>
  <c r="AB215" i="30"/>
  <c r="AA221" i="30"/>
  <c r="AB221" i="30" s="1"/>
  <c r="AK253" i="30"/>
  <c r="AK265" i="30" s="1"/>
  <c r="AK266" i="30" s="1"/>
  <c r="AK267" i="30"/>
  <c r="J35" i="10" s="1"/>
  <c r="J36" i="10" s="1"/>
  <c r="J80" i="10" s="1"/>
  <c r="G14" i="28"/>
  <c r="AO244" i="30"/>
  <c r="H21" i="28" s="1"/>
  <c r="AQ202" i="30"/>
  <c r="AR202" i="30" s="1"/>
  <c r="AQ241" i="30"/>
  <c r="AR241" i="30" s="1"/>
  <c r="AM244" i="30"/>
  <c r="AQ209" i="30"/>
  <c r="AR209" i="30" s="1"/>
  <c r="AQ207" i="30"/>
  <c r="AR207" i="30" s="1"/>
  <c r="AQ212" i="30"/>
  <c r="AR212" i="30" s="1"/>
  <c r="AQ224" i="30"/>
  <c r="AR224" i="30" s="1"/>
  <c r="AQ218" i="30"/>
  <c r="AM215" i="30"/>
  <c r="AM221" i="30" s="1"/>
  <c r="AO215" i="30"/>
  <c r="AO221" i="30" s="1"/>
  <c r="AR91" i="30"/>
  <c r="AQ117" i="30"/>
  <c r="AQ210" i="30"/>
  <c r="AR210" i="30" s="1"/>
  <c r="M34" i="10"/>
  <c r="G21" i="28" l="1"/>
  <c r="AP267" i="30"/>
  <c r="H20" i="28"/>
  <c r="AO228" i="30"/>
  <c r="AQ226" i="30"/>
  <c r="AR226" i="30" s="1"/>
  <c r="AA267" i="30"/>
  <c r="AB267" i="30" s="1"/>
  <c r="AB228" i="30"/>
  <c r="AA253" i="30"/>
  <c r="AR218" i="30"/>
  <c r="AQ219" i="30"/>
  <c r="AQ215" i="30"/>
  <c r="AP266" i="30"/>
  <c r="AQ244" i="30"/>
  <c r="AR244" i="30" s="1"/>
  <c r="AR117" i="30"/>
  <c r="AM267" i="30"/>
  <c r="L35" i="10" s="1"/>
  <c r="AM253" i="30"/>
  <c r="AM265" i="30" s="1"/>
  <c r="AM266" i="30" s="1"/>
  <c r="AQ228" i="30" l="1"/>
  <c r="AQ267" i="30" s="1"/>
  <c r="AA265" i="30"/>
  <c r="AB253" i="30"/>
  <c r="AO253" i="30"/>
  <c r="AO265" i="30" s="1"/>
  <c r="AO267" i="30"/>
  <c r="L36" i="10"/>
  <c r="L80" i="10" s="1"/>
  <c r="M35" i="10"/>
  <c r="M36" i="10" s="1"/>
  <c r="AR215" i="30"/>
  <c r="AQ221" i="30"/>
  <c r="AR221" i="30" s="1"/>
  <c r="G20" i="28"/>
  <c r="G24" i="28" s="1"/>
  <c r="H24" i="28"/>
  <c r="H26" i="28" l="1"/>
  <c r="AQ253" i="30"/>
  <c r="AR253" i="30" s="1"/>
  <c r="AR228" i="30"/>
  <c r="AO266" i="30"/>
  <c r="AQ265" i="30"/>
  <c r="AA266" i="30"/>
  <c r="AB266" i="30" s="1"/>
  <c r="AB265" i="30"/>
  <c r="H33" i="28" l="1"/>
  <c r="H32" i="28" s="1"/>
  <c r="H34" i="28" s="1"/>
  <c r="H35" i="28" s="1"/>
  <c r="H36" i="28" s="1"/>
  <c r="AQ266" i="30"/>
  <c r="AR266" i="30" s="1"/>
  <c r="AR265" i="30"/>
</calcChain>
</file>

<file path=xl/sharedStrings.xml><?xml version="1.0" encoding="utf-8"?>
<sst xmlns="http://schemas.openxmlformats.org/spreadsheetml/2006/main" count="1550" uniqueCount="866">
  <si>
    <t>Total</t>
  </si>
  <si>
    <t>Depreciation</t>
  </si>
  <si>
    <t>Interest</t>
  </si>
  <si>
    <t>kW</t>
  </si>
  <si>
    <t>Jan</t>
  </si>
  <si>
    <t>Feb</t>
  </si>
  <si>
    <t>Mar</t>
  </si>
  <si>
    <t>Apr</t>
  </si>
  <si>
    <t>May</t>
  </si>
  <si>
    <t>Jun</t>
  </si>
  <si>
    <t>Jul</t>
  </si>
  <si>
    <t>Aug</t>
  </si>
  <si>
    <t>Sep</t>
  </si>
  <si>
    <t>Oct</t>
  </si>
  <si>
    <t>Nov</t>
  </si>
  <si>
    <t>Dec</t>
  </si>
  <si>
    <t>Margin</t>
  </si>
  <si>
    <t>Total Revenue Requirement</t>
  </si>
  <si>
    <t>Billing Units</t>
  </si>
  <si>
    <t>Greenbelt</t>
  </si>
  <si>
    <t>Concho</t>
  </si>
  <si>
    <t>Coleman</t>
  </si>
  <si>
    <t>Big Country</t>
  </si>
  <si>
    <t>Golden Spread Electric Cooperative, Inc.</t>
  </si>
  <si>
    <t>GSEC</t>
  </si>
  <si>
    <t>--------</t>
  </si>
  <si>
    <t>SPP</t>
  </si>
  <si>
    <t>Golden Spread Electric Cooperative</t>
  </si>
  <si>
    <t>Land &amp; Land Rights</t>
  </si>
  <si>
    <t>Structures &amp; Improvements</t>
  </si>
  <si>
    <t>Station Equipment</t>
  </si>
  <si>
    <t>Poles &amp; Fixtures</t>
  </si>
  <si>
    <t>Roads &amp; Trails</t>
  </si>
  <si>
    <t>Trans</t>
  </si>
  <si>
    <t>ERCOT</t>
  </si>
  <si>
    <t>Dist</t>
  </si>
  <si>
    <t>South Plains</t>
  </si>
  <si>
    <t>SCADA</t>
  </si>
  <si>
    <t>Fuel</t>
  </si>
  <si>
    <t>Generation Expense</t>
  </si>
  <si>
    <t>p321, L63</t>
  </si>
  <si>
    <t>p321, L64</t>
  </si>
  <si>
    <t>Other Power Supply Expense</t>
  </si>
  <si>
    <t>Purchased Power</t>
  </si>
  <si>
    <t>p321, L76</t>
  </si>
  <si>
    <t>Operations Supervision &amp; Eng</t>
  </si>
  <si>
    <t>Transmission by Others</t>
  </si>
  <si>
    <t>p321, L83</t>
  </si>
  <si>
    <t>p321, L93</t>
  </si>
  <si>
    <t>p321, L96</t>
  </si>
  <si>
    <t>p321, L78</t>
  </si>
  <si>
    <t>Meter Expense</t>
  </si>
  <si>
    <t>p322, L140</t>
  </si>
  <si>
    <t>Sales</t>
  </si>
  <si>
    <t>Demonstrating &amp; Selling</t>
  </si>
  <si>
    <t>p323, L175</t>
  </si>
  <si>
    <t>Admin &amp; Gen Salaries</t>
  </si>
  <si>
    <t>Credits for transfer</t>
  </si>
  <si>
    <t>Property Insurance</t>
  </si>
  <si>
    <t>Employee Pensions &amp; Benefits</t>
  </si>
  <si>
    <t>General Advertising</t>
  </si>
  <si>
    <t>Rents</t>
  </si>
  <si>
    <t>p323, L181</t>
  </si>
  <si>
    <t>p323, L182</t>
  </si>
  <si>
    <t>p323, L183</t>
  </si>
  <si>
    <t>p323, L184</t>
  </si>
  <si>
    <t>p323, L187</t>
  </si>
  <si>
    <t>p323, L191</t>
  </si>
  <si>
    <t>p323, L192</t>
  </si>
  <si>
    <t>p323, L193</t>
  </si>
  <si>
    <t>Miscellaneous General</t>
  </si>
  <si>
    <t>Outside Services</t>
  </si>
  <si>
    <t>Total Electric Operations &amp; Maint Expense</t>
  </si>
  <si>
    <t>p321, L107</t>
  </si>
  <si>
    <t>p321, L108</t>
  </si>
  <si>
    <t>Other Production Plant</t>
  </si>
  <si>
    <t>Generators</t>
  </si>
  <si>
    <t>p205, L38</t>
  </si>
  <si>
    <t>p205, L41</t>
  </si>
  <si>
    <t>Transmission Plant</t>
  </si>
  <si>
    <t>p207, L48</t>
  </si>
  <si>
    <t>p207, L49</t>
  </si>
  <si>
    <t>p207, L52</t>
  </si>
  <si>
    <t>p207, L53</t>
  </si>
  <si>
    <t>p207, L56</t>
  </si>
  <si>
    <t>General Plant</t>
  </si>
  <si>
    <t>Office Furniture &amp; Equipment</t>
  </si>
  <si>
    <t>Transportation Equipment</t>
  </si>
  <si>
    <t>Communication Equipment</t>
  </si>
  <si>
    <t>Miscellaneous Equipment</t>
  </si>
  <si>
    <t>p207, L87</t>
  </si>
  <si>
    <t>p207, L88</t>
  </si>
  <si>
    <t>p207, L89</t>
  </si>
  <si>
    <t>p207, L94</t>
  </si>
  <si>
    <t>p207, L95</t>
  </si>
  <si>
    <t>p207, L97</t>
  </si>
  <si>
    <t>Total Electric Plant</t>
  </si>
  <si>
    <t>---------</t>
  </si>
  <si>
    <t>Other</t>
  </si>
  <si>
    <t>Load Control</t>
  </si>
  <si>
    <t>-------------</t>
  </si>
  <si>
    <t>------------</t>
  </si>
  <si>
    <t>HOWARD 69</t>
  </si>
  <si>
    <t>KELLERVILLE</t>
  </si>
  <si>
    <t>CLARENDON</t>
  </si>
  <si>
    <t>SHAMROCK</t>
  </si>
  <si>
    <t>WELLINGTON</t>
  </si>
  <si>
    <t>GRAHAM INTERCHANG</t>
  </si>
  <si>
    <t>POST (YANCY)</t>
  </si>
  <si>
    <t>----------</t>
  </si>
  <si>
    <t>Level</t>
  </si>
  <si>
    <t xml:space="preserve">South Plains </t>
  </si>
  <si>
    <t>ABERNATHY</t>
  </si>
  <si>
    <t>ACUFF STATION</t>
  </si>
  <si>
    <t>BECTON STATION</t>
  </si>
  <si>
    <t>CROSBY COUNTY INT</t>
  </si>
  <si>
    <t>ERSKINE SUB</t>
  </si>
  <si>
    <t>FRANKFORD</t>
  </si>
  <si>
    <t>HALFWAY STATION</t>
  </si>
  <si>
    <t>HETTLER STATION</t>
  </si>
  <si>
    <t>IDALOU STATION</t>
  </si>
  <si>
    <t>NEW DEAL</t>
  </si>
  <si>
    <t>QUAKER SUB</t>
  </si>
  <si>
    <t>SHALLOWATER STATI</t>
  </si>
  <si>
    <t>SLATON</t>
  </si>
  <si>
    <t>WOODROW</t>
  </si>
  <si>
    <t>YUMA</t>
  </si>
  <si>
    <t>Total Adjusted</t>
  </si>
  <si>
    <t>Load On</t>
  </si>
  <si>
    <t>Yes</t>
  </si>
  <si>
    <t>No</t>
  </si>
  <si>
    <t>Adjusted Total</t>
  </si>
  <si>
    <t>Note:  GSEC transmission serves all of the Big Country SPP load.</t>
  </si>
  <si>
    <t>Big Country  (SPP)</t>
  </si>
  <si>
    <t xml:space="preserve">Greenbelt   </t>
  </si>
  <si>
    <t>GOLDEN SPREAD ELECTRIC COOPERATIVE</t>
  </si>
  <si>
    <t>p336, L6</t>
  </si>
  <si>
    <t>p336, L10</t>
  </si>
  <si>
    <t>Taxes Other Than Income Taxes</t>
  </si>
  <si>
    <t>p114, L14</t>
  </si>
  <si>
    <t>AF</t>
  </si>
  <si>
    <t>Summary of Allocation Factors</t>
  </si>
  <si>
    <t>Common</t>
  </si>
  <si>
    <t>Other Expense (Letter of Credit)</t>
  </si>
  <si>
    <t>Property Insurance SFA</t>
  </si>
  <si>
    <t>---------------</t>
  </si>
  <si>
    <t>SFA Interest</t>
  </si>
  <si>
    <t xml:space="preserve">Total Utility Operating Expenses </t>
  </si>
  <si>
    <t>Interest Expense</t>
  </si>
  <si>
    <t>Other Interest</t>
  </si>
  <si>
    <t>Total Cost of Service</t>
  </si>
  <si>
    <t>SPP Trans</t>
  </si>
  <si>
    <t>Allocation to SPP Transmission</t>
  </si>
  <si>
    <t>Summary of SPP Transmission Revenue Requirement</t>
  </si>
  <si>
    <t>Other Power Supply</t>
  </si>
  <si>
    <t>Transmission O&amp;M</t>
  </si>
  <si>
    <t>Admin &amp; General</t>
  </si>
  <si>
    <t>Taxes other than IC</t>
  </si>
  <si>
    <t>Rate</t>
  </si>
  <si>
    <t>$/kW/mon</t>
  </si>
  <si>
    <t>kW mon</t>
  </si>
  <si>
    <t>Wages &amp; Salaries</t>
  </si>
  <si>
    <t xml:space="preserve"> Production</t>
  </si>
  <si>
    <t xml:space="preserve"> Transmission</t>
  </si>
  <si>
    <t xml:space="preserve"> Distribution</t>
  </si>
  <si>
    <t xml:space="preserve"> Cust Acct, Cust Svc, Sales</t>
  </si>
  <si>
    <t xml:space="preserve"> Admin &amp; Gen</t>
  </si>
  <si>
    <t xml:space="preserve"> Regional Marketing</t>
  </si>
  <si>
    <t xml:space="preserve">  Total</t>
  </si>
  <si>
    <t>Bailey County</t>
  </si>
  <si>
    <t>Deaf Smith</t>
  </si>
  <si>
    <t>SWTEC</t>
  </si>
  <si>
    <t>Delivery Points</t>
  </si>
  <si>
    <t>$</t>
  </si>
  <si>
    <t>Annual</t>
  </si>
  <si>
    <t>Monthly</t>
  </si>
  <si>
    <t>Weekly</t>
  </si>
  <si>
    <t>Daily</t>
  </si>
  <si>
    <t>Hourly</t>
  </si>
  <si>
    <t>Reference</t>
  </si>
  <si>
    <t>--------------------</t>
  </si>
  <si>
    <t>$/kW/yr</t>
  </si>
  <si>
    <t>$/kW/week</t>
  </si>
  <si>
    <t>$/kW/day</t>
  </si>
  <si>
    <t>$/kW/hour</t>
  </si>
  <si>
    <t xml:space="preserve">Long-Term Debt </t>
  </si>
  <si>
    <t>Account 224</t>
  </si>
  <si>
    <t>Account 231</t>
  </si>
  <si>
    <t>Beginning Bal</t>
  </si>
  <si>
    <t>Additions</t>
  </si>
  <si>
    <t>Payments</t>
  </si>
  <si>
    <t>Ending Bal</t>
  </si>
  <si>
    <t>LTD</t>
  </si>
  <si>
    <t>Notes Payable</t>
  </si>
  <si>
    <t>Principal</t>
  </si>
  <si>
    <t>Less: Depreciation</t>
  </si>
  <si>
    <t>Less: Interest</t>
  </si>
  <si>
    <t>Debt Service</t>
  </si>
  <si>
    <t>DSC</t>
  </si>
  <si>
    <t>Functionalization of Substation Investment</t>
  </si>
  <si>
    <t xml:space="preserve">The Acct 352 &amp; 353 Investment consists of distribution substations.  </t>
  </si>
  <si>
    <t>The high side is a transmission voltage and the low side is a distribution voltage.</t>
  </si>
  <si>
    <t>Only the high side asset cost is assigned to the transmission function.</t>
  </si>
  <si>
    <t xml:space="preserve">The allocation of total substation cost to the transmission and distribution function </t>
  </si>
  <si>
    <t>Functionalized Percent</t>
  </si>
  <si>
    <t>Functionalized</t>
  </si>
  <si>
    <t>Functionalized Percentage</t>
  </si>
  <si>
    <t>Functionalized w/ Common</t>
  </si>
  <si>
    <t>w/ Common</t>
  </si>
  <si>
    <t>Balance</t>
  </si>
  <si>
    <t>Justiceburg</t>
  </si>
  <si>
    <t>N</t>
  </si>
  <si>
    <t>Garza</t>
  </si>
  <si>
    <t>Fluvanna</t>
  </si>
  <si>
    <t>Plainview</t>
  </si>
  <si>
    <t>Y</t>
  </si>
  <si>
    <t>Union</t>
  </si>
  <si>
    <t>Longworth</t>
  </si>
  <si>
    <t>SNTX</t>
  </si>
  <si>
    <t>Haskell Substation</t>
  </si>
  <si>
    <t>Nugent Substation</t>
  </si>
  <si>
    <t>Dressey</t>
  </si>
  <si>
    <t>Novice</t>
  </si>
  <si>
    <t>Gouldbusk</t>
  </si>
  <si>
    <t>Mertzon</t>
  </si>
  <si>
    <t>Grape Creek</t>
  </si>
  <si>
    <t>Sterling City</t>
  </si>
  <si>
    <t>Silver</t>
  </si>
  <si>
    <t>Harriet</t>
  </si>
  <si>
    <t>Lake Nasworthy</t>
  </si>
  <si>
    <t>Barnhart</t>
  </si>
  <si>
    <t>Veribest</t>
  </si>
  <si>
    <t>Orient</t>
  </si>
  <si>
    <t>TOTAL</t>
  </si>
  <si>
    <t>Load Dispatching</t>
  </si>
  <si>
    <t>Lamb County</t>
  </si>
  <si>
    <t>-----</t>
  </si>
  <si>
    <t>Maintenance Station Equipment</t>
  </si>
  <si>
    <t>Maintenance OH Lines</t>
  </si>
  <si>
    <t>p323, L185 - L42</t>
  </si>
  <si>
    <t xml:space="preserve">Service </t>
  </si>
  <si>
    <t>Note:  Data from company's books and records</t>
  </si>
  <si>
    <t>company books</t>
  </si>
  <si>
    <t>p354, L20</t>
  </si>
  <si>
    <t>p354, L21</t>
  </si>
  <si>
    <t>p354, L22</t>
  </si>
  <si>
    <t>p354, L23</t>
  </si>
  <si>
    <t>p354, L24-26</t>
  </si>
  <si>
    <t>p354, L27</t>
  </si>
  <si>
    <t>POSEY/WOLFFORTH</t>
  </si>
  <si>
    <t>Functionalization of Distribution Substation Investment - Sample Data For GSEC Owned Substations</t>
  </si>
  <si>
    <t>Office Supplies</t>
  </si>
  <si>
    <t>Steam Power Generation - Operation</t>
  </si>
  <si>
    <t>p320, L4</t>
  </si>
  <si>
    <t>p320, L5</t>
  </si>
  <si>
    <t>Steam Expenses</t>
  </si>
  <si>
    <t>p320, L6</t>
  </si>
  <si>
    <t>Steam from Other Sources</t>
  </si>
  <si>
    <t>p320, L7</t>
  </si>
  <si>
    <t>Less Steam Transferred-Cr</t>
  </si>
  <si>
    <t>p320, L8</t>
  </si>
  <si>
    <t>Electric Expenses</t>
  </si>
  <si>
    <t>p320, L9</t>
  </si>
  <si>
    <t>Misc Steam Power Expenses</t>
  </si>
  <si>
    <t>p320, L10</t>
  </si>
  <si>
    <t>p320, L11</t>
  </si>
  <si>
    <t>Allowances</t>
  </si>
  <si>
    <t>p320, L12</t>
  </si>
  <si>
    <t>Steam Power Generation - Maintenance</t>
  </si>
  <si>
    <t>Maintenance Supervision &amp; Eng</t>
  </si>
  <si>
    <t>p320, L15</t>
  </si>
  <si>
    <t>Maintenance of Structures</t>
  </si>
  <si>
    <t>p320, L16</t>
  </si>
  <si>
    <t>Maintenance of Boiler Plant</t>
  </si>
  <si>
    <t>p320, L17</t>
  </si>
  <si>
    <t>Maintenance of Electric Plant</t>
  </si>
  <si>
    <t>p320, L18</t>
  </si>
  <si>
    <t>Maintenance of Misc Steam Plant</t>
  </si>
  <si>
    <t>p320, L19</t>
  </si>
  <si>
    <t>Other Power Generation - Operation</t>
  </si>
  <si>
    <t>p321, L62</t>
  </si>
  <si>
    <t>Misc Other Power Generation Expenses</t>
  </si>
  <si>
    <t>p321, L65</t>
  </si>
  <si>
    <t>p321, L66</t>
  </si>
  <si>
    <t>Other Power Generation - Maintenance</t>
  </si>
  <si>
    <t>p321, L69</t>
  </si>
  <si>
    <t>p321, L70</t>
  </si>
  <si>
    <t>Maintenance of Generating &amp; Electric Plant</t>
  </si>
  <si>
    <t>p321, L71</t>
  </si>
  <si>
    <t>Maintenance of Misc Other Power Generation Plant</t>
  </si>
  <si>
    <t>p321, L72</t>
  </si>
  <si>
    <t>Overhead Lines Expenses</t>
  </si>
  <si>
    <t>p321, L94</t>
  </si>
  <si>
    <t>Underground Lines Expenses</t>
  </si>
  <si>
    <t>p321, L95</t>
  </si>
  <si>
    <t>Misc Trans Expenses</t>
  </si>
  <si>
    <t>p321, L97</t>
  </si>
  <si>
    <t>p321, L98</t>
  </si>
  <si>
    <t>p321, L101</t>
  </si>
  <si>
    <t>Maintenance of Underground Lines</t>
  </si>
  <si>
    <t>p321, L109</t>
  </si>
  <si>
    <t>Maintenance of Misc Trans Plant</t>
  </si>
  <si>
    <t>p321, L110</t>
  </si>
  <si>
    <t>p322, L134</t>
  </si>
  <si>
    <t>p322, L135</t>
  </si>
  <si>
    <t>Station Expenses</t>
  </si>
  <si>
    <t>p322, L136</t>
  </si>
  <si>
    <t>Overhead Line Expenses</t>
  </si>
  <si>
    <t>p322, L137</t>
  </si>
  <si>
    <t>Underground Line Expenses</t>
  </si>
  <si>
    <t>p322, L138</t>
  </si>
  <si>
    <t>Street Lighting &amp; Signal System Expenses</t>
  </si>
  <si>
    <t>p322, L139</t>
  </si>
  <si>
    <t>Customer Installations Expenses</t>
  </si>
  <si>
    <t>p322, L141</t>
  </si>
  <si>
    <t>Misc Expenses</t>
  </si>
  <si>
    <t>p322, L142</t>
  </si>
  <si>
    <t>p322, L143</t>
  </si>
  <si>
    <t>Distribution Expenses - Maintenance</t>
  </si>
  <si>
    <t>p322, L146</t>
  </si>
  <si>
    <t>p322, L147</t>
  </si>
  <si>
    <t>Maintenance of Station Equipment</t>
  </si>
  <si>
    <t>p322, L148</t>
  </si>
  <si>
    <t>Maintenance of Overhead Lines</t>
  </si>
  <si>
    <t>p322, L149</t>
  </si>
  <si>
    <t>p322, L150</t>
  </si>
  <si>
    <t>Maintenance of Line Transformers</t>
  </si>
  <si>
    <t>p322, L151</t>
  </si>
  <si>
    <t>Maintenance of Street Lighting &amp; Signal Systems</t>
  </si>
  <si>
    <t>p322, L152</t>
  </si>
  <si>
    <t>Maintenance of Meters</t>
  </si>
  <si>
    <t>p322, L153</t>
  </si>
  <si>
    <t>Maintenance of Misc Dist Plant</t>
  </si>
  <si>
    <t>p322, L154</t>
  </si>
  <si>
    <t>Customer Accounts Expenses</t>
  </si>
  <si>
    <t>Supervision</t>
  </si>
  <si>
    <t>p322, L159</t>
  </si>
  <si>
    <t>Meter Reading Expenses</t>
  </si>
  <si>
    <t>p322, L160</t>
  </si>
  <si>
    <t>Customer Records &amp; Collection Expenses</t>
  </si>
  <si>
    <t>p322, L161</t>
  </si>
  <si>
    <t>Uncollectible Accounts</t>
  </si>
  <si>
    <t>p322, L162</t>
  </si>
  <si>
    <t>Misc Customer Accounts Expenses</t>
  </si>
  <si>
    <t>p322, L163</t>
  </si>
  <si>
    <t>Customer Service &amp; Informational Expenses</t>
  </si>
  <si>
    <t>p323, L167</t>
  </si>
  <si>
    <t>p323, L168</t>
  </si>
  <si>
    <t>p323, L169</t>
  </si>
  <si>
    <t>p323, L170</t>
  </si>
  <si>
    <t>p323, L174</t>
  </si>
  <si>
    <t>Advertising Expenses</t>
  </si>
  <si>
    <t>p323, L176</t>
  </si>
  <si>
    <t>Misc Sales Expenses</t>
  </si>
  <si>
    <t>p323, L177</t>
  </si>
  <si>
    <t>Injuries &amp; Damages</t>
  </si>
  <si>
    <t>p323, L186</t>
  </si>
  <si>
    <t>Franchise Requirements</t>
  </si>
  <si>
    <t>p323, L188</t>
  </si>
  <si>
    <t>Regulatory Commission Expenses</t>
  </si>
  <si>
    <t>p323, L189</t>
  </si>
  <si>
    <t>Less Duplicate Charges</t>
  </si>
  <si>
    <t>p323, L190</t>
  </si>
  <si>
    <t>Maintenance of General Plant</t>
  </si>
  <si>
    <t>p323, L196</t>
  </si>
  <si>
    <t>Operation Supervision &amp; Eng</t>
  </si>
  <si>
    <t>Load Dispatch - Reliability</t>
  </si>
  <si>
    <t>Load Dispatch - Monitor/Operate Trans System</t>
  </si>
  <si>
    <t>Load Dispatch - Trans Service &amp; Scheduling</t>
  </si>
  <si>
    <t>Scheduling, System Control, &amp; Dispatch Services</t>
  </si>
  <si>
    <t>Reliability, Planning, &amp; Standards Development</t>
  </si>
  <si>
    <t>Transmission Service Studies</t>
  </si>
  <si>
    <t>Generation Interconnection Studies</t>
  </si>
  <si>
    <t>Reliability, Planning, &amp; Standards Development Services</t>
  </si>
  <si>
    <t>p321, L85</t>
  </si>
  <si>
    <t>p321, L86</t>
  </si>
  <si>
    <t>p321, L87</t>
  </si>
  <si>
    <t>p321, L88</t>
  </si>
  <si>
    <t>p321, L89</t>
  </si>
  <si>
    <t>p321, L90</t>
  </si>
  <si>
    <t>p321, L91</t>
  </si>
  <si>
    <t>p321, L92</t>
  </si>
  <si>
    <t>Maintenance of Computer Hardware</t>
  </si>
  <si>
    <t>Maintenance of Computer Software</t>
  </si>
  <si>
    <t>Maintenance of Communication Equipment</t>
  </si>
  <si>
    <t>Maintenance of Misc Regional Trans Plant</t>
  </si>
  <si>
    <t>p321, L102</t>
  </si>
  <si>
    <t>p321, L103</t>
  </si>
  <si>
    <t>p321, L104</t>
  </si>
  <si>
    <t>p321, L105</t>
  </si>
  <si>
    <t>p321, L106</t>
  </si>
  <si>
    <t>Total Steam Power Generation O&amp;M Expenses</t>
  </si>
  <si>
    <t>Total Other Power Generation O&amp;M Expenses</t>
  </si>
  <si>
    <t>Total Transmission O&amp;M Expenses</t>
  </si>
  <si>
    <t>p322, L115</t>
  </si>
  <si>
    <t>p322, L116</t>
  </si>
  <si>
    <t>p322, L117</t>
  </si>
  <si>
    <t>p322, L118</t>
  </si>
  <si>
    <t>p322, L119</t>
  </si>
  <si>
    <t>p322, L120</t>
  </si>
  <si>
    <t>p322, L121</t>
  </si>
  <si>
    <t>p322, L122</t>
  </si>
  <si>
    <t>Total Regional Market O&amp;M Expenses</t>
  </si>
  <si>
    <t>Distribution Expenses - Operation</t>
  </si>
  <si>
    <t>Total Distribution O&amp;M Expenses</t>
  </si>
  <si>
    <t>Transmision Expenses - Operation</t>
  </si>
  <si>
    <t>Transmission Expenses - Maintenance</t>
  </si>
  <si>
    <t>Regional Market Expenses - Operation</t>
  </si>
  <si>
    <t>Regional Market Expenses - Maintenance</t>
  </si>
  <si>
    <t>Sales Expenses</t>
  </si>
  <si>
    <t>Administrative &amp; General Expenses - Maintenance</t>
  </si>
  <si>
    <t>Administrative &amp; General Expenses - Operation</t>
  </si>
  <si>
    <t>Total Administrative &amp; General O&amp;M Expenses</t>
  </si>
  <si>
    <t>Steam Production Plant</t>
  </si>
  <si>
    <t>p336, L2</t>
  </si>
  <si>
    <t>Distribution Plant</t>
  </si>
  <si>
    <t>p336, L8</t>
  </si>
  <si>
    <t>Regional Transmission &amp; Market Operation</t>
  </si>
  <si>
    <t>p336, L9</t>
  </si>
  <si>
    <t>p336, L7</t>
  </si>
  <si>
    <t>Intangible Plant</t>
  </si>
  <si>
    <t>Organization</t>
  </si>
  <si>
    <t>p205, L2</t>
  </si>
  <si>
    <t>p205, L3</t>
  </si>
  <si>
    <t>Misc Intangible Plant</t>
  </si>
  <si>
    <t>p205, L4</t>
  </si>
  <si>
    <t>p205, L8</t>
  </si>
  <si>
    <t>p205, L9</t>
  </si>
  <si>
    <t>Boiler Plant Equipment</t>
  </si>
  <si>
    <t>p205, L10</t>
  </si>
  <si>
    <t>Engines &amp; Engine-Driven Generators</t>
  </si>
  <si>
    <t>p205, L11</t>
  </si>
  <si>
    <t>Turbogenerator Units</t>
  </si>
  <si>
    <t>p205, L12</t>
  </si>
  <si>
    <t>Accessory Electric Equipment</t>
  </si>
  <si>
    <t>p205, L13</t>
  </si>
  <si>
    <t>Misc Power Plant Equipment</t>
  </si>
  <si>
    <t>p205, L14</t>
  </si>
  <si>
    <t>Asset Retirement Costs for Steam Production</t>
  </si>
  <si>
    <t>p205, L15</t>
  </si>
  <si>
    <t>p205, L37</t>
  </si>
  <si>
    <t>Fuel Holders, Products &amp; Accessories</t>
  </si>
  <si>
    <t>p205, L39</t>
  </si>
  <si>
    <t>Prime Movers</t>
  </si>
  <si>
    <t>p205, L40</t>
  </si>
  <si>
    <t>p205, L42</t>
  </si>
  <si>
    <t>p205, L43</t>
  </si>
  <si>
    <t>Asset Retirement Costs for Other Production</t>
  </si>
  <si>
    <t>p205, L44</t>
  </si>
  <si>
    <t>Franchises &amp; Consents</t>
  </si>
  <si>
    <t>Towers &amp; Fixtures</t>
  </si>
  <si>
    <t>p207, L51</t>
  </si>
  <si>
    <t>Underground Conduit</t>
  </si>
  <si>
    <t>p207, L54</t>
  </si>
  <si>
    <t>Underground Conductors &amp; Devices</t>
  </si>
  <si>
    <t>p207, L55</t>
  </si>
  <si>
    <t>Asset Retirement Costs for Trans Plant</t>
  </si>
  <si>
    <t>p207, L57</t>
  </si>
  <si>
    <t>Overhead Conductors &amp; Devices</t>
  </si>
  <si>
    <t>p207, L60</t>
  </si>
  <si>
    <t>p207, L61</t>
  </si>
  <si>
    <t>p207, L62</t>
  </si>
  <si>
    <t>Storage Battery Equipment</t>
  </si>
  <si>
    <t>p207, L63</t>
  </si>
  <si>
    <t>Poles, Towers &amp; Fixtures</t>
  </si>
  <si>
    <t>p207, L64</t>
  </si>
  <si>
    <t>p207, L65</t>
  </si>
  <si>
    <t>p207, L66</t>
  </si>
  <si>
    <t>p207, L67</t>
  </si>
  <si>
    <t>Line Transformers</t>
  </si>
  <si>
    <t>p207, L68</t>
  </si>
  <si>
    <t>Services</t>
  </si>
  <si>
    <t>p207, L69</t>
  </si>
  <si>
    <t>Meters</t>
  </si>
  <si>
    <t>p207, L70</t>
  </si>
  <si>
    <t>Installations on Customer Premises</t>
  </si>
  <si>
    <t>p207, L71</t>
  </si>
  <si>
    <t>Leased Property on Customer Premises</t>
  </si>
  <si>
    <t>p207, L72</t>
  </si>
  <si>
    <t>Street Lighting &amp; Signal Systems</t>
  </si>
  <si>
    <t>p207, L73</t>
  </si>
  <si>
    <t>Asset Retirement Costs for Dist Plant</t>
  </si>
  <si>
    <t>p207, L74</t>
  </si>
  <si>
    <t>Regional Transmission &amp; Market Operation Plant</t>
  </si>
  <si>
    <t>p207, L77</t>
  </si>
  <si>
    <t>p207, L78</t>
  </si>
  <si>
    <t>Computer Hardware</t>
  </si>
  <si>
    <t>p207, L79</t>
  </si>
  <si>
    <t>Computer Software</t>
  </si>
  <si>
    <t>p207, L80</t>
  </si>
  <si>
    <t>p207, L81</t>
  </si>
  <si>
    <t>Misc Regional Transmission &amp; Market Operation Plant</t>
  </si>
  <si>
    <t>p207, L82</t>
  </si>
  <si>
    <t>Asset Retirement Costs for Regional Transmission &amp; Market Operation Plant</t>
  </si>
  <si>
    <t>p207, L83</t>
  </si>
  <si>
    <t>p207, L86</t>
  </si>
  <si>
    <t>Stores Equipment</t>
  </si>
  <si>
    <t>p207, L90</t>
  </si>
  <si>
    <t>Tools, Shop &amp; Garage Equipment</t>
  </si>
  <si>
    <t>p207, L91</t>
  </si>
  <si>
    <t>Laboratory Equipment</t>
  </si>
  <si>
    <t>p207, L92</t>
  </si>
  <si>
    <t>Power Operated Equipment</t>
  </si>
  <si>
    <t>p207, L93</t>
  </si>
  <si>
    <t>Asset Retirement Costs for General Plant</t>
  </si>
  <si>
    <t>p207, L98</t>
  </si>
  <si>
    <t>Other Tangible Property</t>
  </si>
  <si>
    <t>Taylor</t>
  </si>
  <si>
    <t>Schedule A-1.0</t>
  </si>
  <si>
    <t>a</t>
  </si>
  <si>
    <t>b</t>
  </si>
  <si>
    <t>c</t>
  </si>
  <si>
    <t>d</t>
  </si>
  <si>
    <t>e</t>
  </si>
  <si>
    <t>f</t>
  </si>
  <si>
    <t>g</t>
  </si>
  <si>
    <t>h</t>
  </si>
  <si>
    <t>Lighthouse</t>
  </si>
  <si>
    <t>North Plains</t>
  </si>
  <si>
    <t>Rita Blanca</t>
  </si>
  <si>
    <t>Swisher</t>
  </si>
  <si>
    <t>Tri-County</t>
  </si>
  <si>
    <t>Lyntegar</t>
  </si>
  <si>
    <t>Steam Power Generation</t>
  </si>
  <si>
    <t>Other Power Generation</t>
  </si>
  <si>
    <t>Regional Market</t>
  </si>
  <si>
    <t>Customer Accounts</t>
  </si>
  <si>
    <t>Customer Service</t>
  </si>
  <si>
    <t xml:space="preserve">Other </t>
  </si>
  <si>
    <t>--------------------------------------</t>
  </si>
  <si>
    <t>Ratio</t>
  </si>
  <si>
    <t>DP For Individual</t>
  </si>
  <si>
    <t>SSR Other</t>
  </si>
  <si>
    <t>SSR SFA</t>
  </si>
  <si>
    <t>Other SPP</t>
  </si>
  <si>
    <t>Other ERCOT</t>
  </si>
  <si>
    <t>SFA SPP</t>
  </si>
  <si>
    <t>SFA ERCOT</t>
  </si>
  <si>
    <t>SFA SPP %</t>
  </si>
  <si>
    <t>SFA ERCOT %</t>
  </si>
  <si>
    <t>SFA % Total</t>
  </si>
  <si>
    <t>SFA % SFA</t>
  </si>
  <si>
    <t>----------------------------</t>
  </si>
  <si>
    <t>Total Distribution Plant</t>
  </si>
  <si>
    <t>Less: 350 &amp; 359</t>
  </si>
  <si>
    <t>Less: Gen Step-Up</t>
  </si>
  <si>
    <t>ERCOT Trans</t>
  </si>
  <si>
    <t>Form 1 Total</t>
  </si>
  <si>
    <t>i</t>
  </si>
  <si>
    <t>j</t>
  </si>
  <si>
    <t>k</t>
  </si>
  <si>
    <t>SFA Total</t>
  </si>
  <si>
    <t>350 SFA</t>
  </si>
  <si>
    <t>Land &amp; Land Rights SFA</t>
  </si>
  <si>
    <t>352 SFA</t>
  </si>
  <si>
    <t>Structures &amp; Improvements SFA</t>
  </si>
  <si>
    <t>353 SFA</t>
  </si>
  <si>
    <t>Station Equipment SFA</t>
  </si>
  <si>
    <t>SCADA SFA</t>
  </si>
  <si>
    <t>354 SFA</t>
  </si>
  <si>
    <t>Towers &amp; Fixtures SFA</t>
  </si>
  <si>
    <t>355 SFA</t>
  </si>
  <si>
    <t>Poles &amp; Fixtures SFA</t>
  </si>
  <si>
    <t>356 SFA</t>
  </si>
  <si>
    <t>Overhead Conductors &amp; Devices SFA</t>
  </si>
  <si>
    <t>357 SFA</t>
  </si>
  <si>
    <t>Underground Conduit SFA</t>
  </si>
  <si>
    <t>358 SFA</t>
  </si>
  <si>
    <t>Underground Conductors &amp; Devices SFA</t>
  </si>
  <si>
    <t>359 SFA</t>
  </si>
  <si>
    <t>Roads &amp; Trails SFA</t>
  </si>
  <si>
    <t>359.1 SFA</t>
  </si>
  <si>
    <t>Asset Retirement Costs for Trans Plant SFA</t>
  </si>
  <si>
    <t>924 SFA</t>
  </si>
  <si>
    <t>353 SCADA</t>
  </si>
  <si>
    <t>353 SCADA SFA</t>
  </si>
  <si>
    <t>Station Expense</t>
  </si>
  <si>
    <t>560 SFA</t>
  </si>
  <si>
    <t>Operation Supervision &amp; Eng SFA</t>
  </si>
  <si>
    <t>561.1 SFA</t>
  </si>
  <si>
    <t>Load Dispatch - Reliability SFA</t>
  </si>
  <si>
    <t>561.2 SFA</t>
  </si>
  <si>
    <t>Load Dispatch - Monitor/Operate Trans System SFA</t>
  </si>
  <si>
    <t>561.3 SFA</t>
  </si>
  <si>
    <t>Load Dispatch - Trans Service &amp; Scheduling SFA</t>
  </si>
  <si>
    <t>561.4 SFA</t>
  </si>
  <si>
    <t>Scheduling, System Control, &amp; Dispatch Services SFA</t>
  </si>
  <si>
    <t>561.5 SFA</t>
  </si>
  <si>
    <t>Reliability, Planning, &amp; Standards Development SFA</t>
  </si>
  <si>
    <t>561.6 SFA</t>
  </si>
  <si>
    <t>Transmission Service Studies SFA</t>
  </si>
  <si>
    <t>561.7 SFA</t>
  </si>
  <si>
    <t>Generation Interconnection Studies SFA</t>
  </si>
  <si>
    <t>561.8 SFA</t>
  </si>
  <si>
    <t>Reliability, Planning, &amp; Standards Development Services SFA</t>
  </si>
  <si>
    <t>562 SFA</t>
  </si>
  <si>
    <t>Station Expense SFA</t>
  </si>
  <si>
    <t>563 SFA</t>
  </si>
  <si>
    <t>Overhead Lines Expenses SFA</t>
  </si>
  <si>
    <t>564 SFA</t>
  </si>
  <si>
    <t>Underground Lines Expenses SFA</t>
  </si>
  <si>
    <t>565 SFA</t>
  </si>
  <si>
    <t>Transmission by Others SFA</t>
  </si>
  <si>
    <t>566 SFA</t>
  </si>
  <si>
    <t>Misc Trans Expenses SFA</t>
  </si>
  <si>
    <t>567 SFA</t>
  </si>
  <si>
    <t>Rents SFA</t>
  </si>
  <si>
    <t>568 SFA</t>
  </si>
  <si>
    <t>Maintenance Supervision &amp; Eng SFA</t>
  </si>
  <si>
    <t>569 SFA</t>
  </si>
  <si>
    <t>Maintenance of Structures SFA</t>
  </si>
  <si>
    <t>569.1 SFA</t>
  </si>
  <si>
    <t>Maintenance of Computer Hardware SFA</t>
  </si>
  <si>
    <t>569.2 SFA</t>
  </si>
  <si>
    <t>Maintenance of Computer Software SFA</t>
  </si>
  <si>
    <t>569.3 SFA</t>
  </si>
  <si>
    <t>Maintenance of Communication Equipment SFA</t>
  </si>
  <si>
    <t>569.4 SFA</t>
  </si>
  <si>
    <t>Maintenance of Misc Regional Trans Plant SFA</t>
  </si>
  <si>
    <t>570 SFA</t>
  </si>
  <si>
    <t>571 SFA</t>
  </si>
  <si>
    <t>572 SFA</t>
  </si>
  <si>
    <t>Maintenance of Underground Lines SFA</t>
  </si>
  <si>
    <t>573 SFA</t>
  </si>
  <si>
    <t>Maintenance of Misc Trans Plant SFA</t>
  </si>
  <si>
    <t>580 SFA</t>
  </si>
  <si>
    <t>Operations Supervision &amp; Eng SFA</t>
  </si>
  <si>
    <t>581 SFA</t>
  </si>
  <si>
    <t>Load Dispatching SFA</t>
  </si>
  <si>
    <t>582 SFA</t>
  </si>
  <si>
    <t>Station Expenses SFA</t>
  </si>
  <si>
    <t>583 SFA</t>
  </si>
  <si>
    <t>Overhead Line Expenses SFA</t>
  </si>
  <si>
    <t>584 SFA</t>
  </si>
  <si>
    <t>Underground Line Expenses SFA</t>
  </si>
  <si>
    <t>590 SFA</t>
  </si>
  <si>
    <t>591 SFA</t>
  </si>
  <si>
    <t>592 SFA</t>
  </si>
  <si>
    <t>Maintenance of Station Equipment SFA</t>
  </si>
  <si>
    <t>593 SFA</t>
  </si>
  <si>
    <t>Maintenance of Overhead Lines SFA</t>
  </si>
  <si>
    <t>594 SFA</t>
  </si>
  <si>
    <t>595 SFA</t>
  </si>
  <si>
    <t>Maintenance of Line Transformers SFA</t>
  </si>
  <si>
    <t>l</t>
  </si>
  <si>
    <t>m</t>
  </si>
  <si>
    <t>n</t>
  </si>
  <si>
    <t>o</t>
  </si>
  <si>
    <t>BIG COUNTRY</t>
  </si>
  <si>
    <t>GREENBELT</t>
  </si>
  <si>
    <t>SOUTH PLAINS</t>
  </si>
  <si>
    <t>360 SFA</t>
  </si>
  <si>
    <t>361 SFA</t>
  </si>
  <si>
    <t>362 SFA</t>
  </si>
  <si>
    <t>363 SFA</t>
  </si>
  <si>
    <t>Storage Battery Equipment SFA</t>
  </si>
  <si>
    <t>364 SFA</t>
  </si>
  <si>
    <t>Poles, Towers &amp; Fixtures SFA</t>
  </si>
  <si>
    <t>365 SFA</t>
  </si>
  <si>
    <t>366 SFA</t>
  </si>
  <si>
    <t>367 SFA</t>
  </si>
  <si>
    <t>368 SFA</t>
  </si>
  <si>
    <t>Line Transformers SFA</t>
  </si>
  <si>
    <t>Check</t>
  </si>
  <si>
    <t>Direct to SFA</t>
  </si>
  <si>
    <t>Delivery Points Member</t>
  </si>
  <si>
    <t>Delivery Points Region</t>
  </si>
  <si>
    <t>Total/SPP</t>
  </si>
  <si>
    <t>Transmission O&amp;M w/Acct 565</t>
  </si>
  <si>
    <t>Wage &amp; Salary Member</t>
  </si>
  <si>
    <t>Wage &amp; Salary Region</t>
  </si>
  <si>
    <t>Transmission Other</t>
  </si>
  <si>
    <t>Total Plant Investment</t>
  </si>
  <si>
    <t>Wages &amp; Salary Ratio</t>
  </si>
  <si>
    <t>Wages &amp; Salary less A&amp;G (by DP)</t>
  </si>
  <si>
    <t>Transmission Plant w/o Gen Step-Up</t>
  </si>
  <si>
    <t>Investment Ratio</t>
  </si>
  <si>
    <t>Trans Plant - Accts 355 &amp; 356</t>
  </si>
  <si>
    <t>Dist Plant - Acct 362</t>
  </si>
  <si>
    <t>Trans Plant Investment w/o Step-Up</t>
  </si>
  <si>
    <t>Trans Plant Investment w/o Step-Up, 350 &amp; 359</t>
  </si>
  <si>
    <t>Dist Plant Investment w/o 360</t>
  </si>
  <si>
    <t>Trans &amp; Dist Plant less 350, 359 &amp; 360</t>
  </si>
  <si>
    <t>Trans &amp; Dist Plant Investment w/o 350, 359, 360</t>
  </si>
  <si>
    <t>Direct to Non-Transmission</t>
  </si>
  <si>
    <t>Trans Plant less 350 &amp; 359</t>
  </si>
  <si>
    <t>Transmission to Transmission Function</t>
  </si>
  <si>
    <t>No Allocation to Transmission Function</t>
  </si>
  <si>
    <t>q</t>
  </si>
  <si>
    <t>r</t>
  </si>
  <si>
    <t>s</t>
  </si>
  <si>
    <t>t</t>
  </si>
  <si>
    <t>u</t>
  </si>
  <si>
    <t>v</t>
  </si>
  <si>
    <t>w</t>
  </si>
  <si>
    <t>x</t>
  </si>
  <si>
    <t>y</t>
  </si>
  <si>
    <t>z</t>
  </si>
  <si>
    <t>aa</t>
  </si>
  <si>
    <t>All to Non-Transmission</t>
  </si>
  <si>
    <t>Trans Plant Investment - Accts 355 &amp; 356</t>
  </si>
  <si>
    <t>Dist Plant Investment - Acct 362</t>
  </si>
  <si>
    <t>Trans Plant Investment to Transmission Function</t>
  </si>
  <si>
    <t>Dist Plant Investment to Transmission Function</t>
  </si>
  <si>
    <t>Dist Plant Investment - Acct 362 to Transmission Function</t>
  </si>
  <si>
    <t>Trans Plant Investment - Accts 355 &amp; 356 to Transmission Function</t>
  </si>
  <si>
    <t>Trans &amp; Dist Plant Investment to Transmission Function</t>
  </si>
  <si>
    <t>SFA Investment</t>
  </si>
  <si>
    <t>Total SFA Trans &amp; Dist Plant Investment</t>
  </si>
  <si>
    <t>Total SFA Allocation to Transmission Function</t>
  </si>
  <si>
    <t>Allocate Wages by DP</t>
  </si>
  <si>
    <t>Total SFA Direct</t>
  </si>
  <si>
    <t>SFA Plant to Transmission Function Ratio</t>
  </si>
  <si>
    <t>Maintenance Station Equipment SFA</t>
  </si>
  <si>
    <t>Maintenance OH Lines SFA</t>
  </si>
  <si>
    <t>Total Administrative &amp; General O&amp;M Expenses before Allocation</t>
  </si>
  <si>
    <t>A&amp;G Transmission &amp; SFA Allocation</t>
  </si>
  <si>
    <t>Remaining A&amp;G Less Allocations</t>
  </si>
  <si>
    <t>Transmission Plant SFA</t>
  </si>
  <si>
    <t>Distribution Plant SFA</t>
  </si>
  <si>
    <t>General Plant Trans &amp; SFA Allocation</t>
  </si>
  <si>
    <t>SFA Taxes</t>
  </si>
  <si>
    <t>Transmission Taxes</t>
  </si>
  <si>
    <t>Other Taxes</t>
  </si>
  <si>
    <t>Common Interest</t>
  </si>
  <si>
    <t>Common Taxes</t>
  </si>
  <si>
    <t>Transmission Interest</t>
  </si>
  <si>
    <t>SFA Margin</t>
  </si>
  <si>
    <t>Distribution to Transmission Function</t>
  </si>
  <si>
    <t>Trans &amp; Dist Plant less 350, 359, 360</t>
  </si>
  <si>
    <t>Total Trans &amp; Dist Plant Investment</t>
  </si>
  <si>
    <t>Total Trans &amp; Dist Plant Allocated to Transmission Function</t>
  </si>
  <si>
    <t>Ratio T&amp;D Plant to T&amp;D Plant Allocated to Transmission Function</t>
  </si>
  <si>
    <t>Trans &amp; Dist Expenses w/o A&amp;G</t>
  </si>
  <si>
    <t>Trans &amp; Dist Plant Allocation to Transmission Function</t>
  </si>
  <si>
    <t>Cash Before DS</t>
  </si>
  <si>
    <t>Total Revenue Requirement less Margin</t>
  </si>
  <si>
    <t>Allocation Factors</t>
  </si>
  <si>
    <t>----------------------</t>
  </si>
  <si>
    <t>Form 1</t>
  </si>
  <si>
    <t>ab</t>
  </si>
  <si>
    <t>ac</t>
  </si>
  <si>
    <t>HOWARD 115</t>
  </si>
  <si>
    <t>HOWARDWICK</t>
  </si>
  <si>
    <t>p336, L1</t>
  </si>
  <si>
    <t>Less:</t>
  </si>
  <si>
    <t>Schedule B-1.0</t>
  </si>
  <si>
    <t>Schedule C-1.0</t>
  </si>
  <si>
    <t>Schedule D-1.0</t>
  </si>
  <si>
    <t>Schedule E-1.0</t>
  </si>
  <si>
    <t>Schedule F-1.0</t>
  </si>
  <si>
    <t>Schedule H-1.0</t>
  </si>
  <si>
    <t>Less: No</t>
  </si>
  <si>
    <t>New SFA</t>
  </si>
  <si>
    <t>p</t>
  </si>
  <si>
    <t>ad</t>
  </si>
  <si>
    <t>ae</t>
  </si>
  <si>
    <t>af</t>
  </si>
  <si>
    <t>ag</t>
  </si>
  <si>
    <t>Operating Expenses w/o A&amp;G</t>
  </si>
  <si>
    <t>Total Trans &amp; Dist Expenses</t>
  </si>
  <si>
    <t>Ratio T&amp;D Expenses to T&amp;D Expenses Allocated to Transmission Function</t>
  </si>
  <si>
    <t>Total Trans &amp; Dist Expenses Allocated to Transmission Function</t>
  </si>
  <si>
    <t>Operating Expenses w/o A&amp;G Ratio</t>
  </si>
  <si>
    <t>Transmission O&amp;M Expenses</t>
  </si>
  <si>
    <t>Less 560</t>
  </si>
  <si>
    <t>Transmission O&amp;M Expenses w/o 560</t>
  </si>
  <si>
    <t>Less 565</t>
  </si>
  <si>
    <t>Transmission O&amp;M Expenses w/o 560 and 565</t>
  </si>
  <si>
    <t>Transmission O&amp;M Expenses w/o 560 Ratio</t>
  </si>
  <si>
    <t>Transmission O&amp;M Expenses w/o 560 and 565 Ratio</t>
  </si>
  <si>
    <t>Transmission O&amp;M w/o Acct 565</t>
  </si>
  <si>
    <t>Trans &amp; Dist Expense Allocation to Transmission Function</t>
  </si>
  <si>
    <t>L15 + L16</t>
  </si>
  <si>
    <t>Distribution O&amp;M</t>
  </si>
  <si>
    <t>-------------------------------------------------------------------</t>
  </si>
  <si>
    <t>OTHER</t>
  </si>
  <si>
    <t>Direct - Other</t>
  </si>
  <si>
    <t>Amortization Regulatory Debits</t>
  </si>
  <si>
    <t>Amortization Regulatory Credits</t>
  </si>
  <si>
    <t>Station Equipment (Other)</t>
  </si>
  <si>
    <t>Total SPP Transmission</t>
  </si>
  <si>
    <t>New DP (As needed)</t>
  </si>
  <si>
    <t>Note: See Usage Workpaper for Detailed Usage</t>
  </si>
  <si>
    <t>is based on representative allocation factors based on an analysis of substation owned by GSEC.</t>
  </si>
  <si>
    <t>Summary of Changes to the SPP Transmission Rates Template</t>
  </si>
  <si>
    <t>Description of Change</t>
  </si>
  <si>
    <t>Summary</t>
  </si>
  <si>
    <t>A-1.0</t>
  </si>
  <si>
    <t>Form 1 Plant</t>
  </si>
  <si>
    <t>TransPlnt</t>
  </si>
  <si>
    <t>Plant</t>
  </si>
  <si>
    <t>Form1Exp</t>
  </si>
  <si>
    <t>Expenses</t>
  </si>
  <si>
    <t>TransExp</t>
  </si>
  <si>
    <t>Usage</t>
  </si>
  <si>
    <t>Debt</t>
  </si>
  <si>
    <t>Sub WP</t>
  </si>
  <si>
    <t>Delivery Pts</t>
  </si>
  <si>
    <t>Usage WP</t>
  </si>
  <si>
    <t>B-1.0</t>
  </si>
  <si>
    <t>C-1.0</t>
  </si>
  <si>
    <t>D-1.0</t>
  </si>
  <si>
    <t>E-1.0</t>
  </si>
  <si>
    <t>F-1.0</t>
  </si>
  <si>
    <t>G-1.0</t>
  </si>
  <si>
    <t>H-1.0</t>
  </si>
  <si>
    <t>I-1.0</t>
  </si>
  <si>
    <t>J-1.0</t>
  </si>
  <si>
    <t>K-1.0</t>
  </si>
  <si>
    <t>L-1.0</t>
  </si>
  <si>
    <t>N/A</t>
  </si>
  <si>
    <t>Schedule was removed.  The SFA margin calculations are now in Schedule C-1.0 - Expenses, rows 270-278.</t>
  </si>
  <si>
    <t>-----------------------</t>
  </si>
  <si>
    <t>-----------------------------------------------</t>
  </si>
  <si>
    <t>No changes made.</t>
  </si>
  <si>
    <t>Rows were added to list all of the O&amp;M Expense Major Accounts (Steam Power Generation, Regional Market, Customer Accounts, Customer Service) to match the Form 1 accounts and total.  The row for Non Operating Income was removed. A column was added to accomodate a new SFA being added. References were updated to reflect changes in other schedule numbers.</t>
  </si>
  <si>
    <t>Original Tab</t>
  </si>
  <si>
    <t>Original Schedule</t>
  </si>
  <si>
    <t>New Tab</t>
  </si>
  <si>
    <t>New Schedule</t>
  </si>
  <si>
    <t>----------------</t>
  </si>
  <si>
    <t>------------------</t>
  </si>
  <si>
    <t>Changes made to match SSR delivery points and to reflect current delivery points.</t>
  </si>
  <si>
    <t>Less: OATT Actual</t>
  </si>
  <si>
    <t>Add: OATT Contract</t>
  </si>
  <si>
    <t>Schedule I-1.0</t>
  </si>
  <si>
    <t>Sections for non-SPP SFA's were combined (Concho &amp; Coleman) into one "Other" section.  Other also includes other transmission services, non-transmission and Taylor (non-SPP SFA).  Rows were added to accomodate a new SFA.</t>
  </si>
  <si>
    <t>New workpaper that is similar to the old Usage schedule and has all of the detail for each of the SFA's delivery points.  Lines were added to accommodate for changes in the delivery points. A change was made to remove the actual usage for the OATT customer on SPEC and to add back in the contract usage.</t>
  </si>
  <si>
    <t>Date of Change</t>
  </si>
  <si>
    <t>Previous schedules B-1.0 and C-1.0 are combined into one new comprehensive schedule B-1.0 - Plant that incorporates all Form 1 Electric Plant In Service accounts from pages 204-207, including lines for SFA’s in the relevant Transmission Plant and Distribution Plant accounts.  Allocation Factors were added for every account where previously there were only Allocation Factors for the accounts that were populated.  As accounting changes occur, the template needs to have all Form 1 accounts and corresponding Allocation Factors.  A column for a new SFA was added.  Non-SPP SFA's (Concho &amp; Coleman) were combined into Other.  Other also includes other transmission services, non-transmission and Taylor (non-SPP SFA).</t>
  </si>
  <si>
    <t>Previous schedules D-1.0 and E-1.0 were combined into one new comprehensive schedule C-1.0 - Expenses that incorporates all Form 1 Electric Operation and Maintenance Expenses from pages 320-323, including lines for SFA’s in the relevant Transmission Expenses and Distribution Expenses accounts. Allocation Factors were added for every account where previously there were only Allocation Factors for the accounts that were populated.  As accounting changes occur, the template needs to have all Form 1 accounts and corresponding Allocation Factors.  Columns c – g in Transmission Expenses &amp; Distribution Expenses are SFA inputs from the Foot Note Data of the Form 1, pages 450.1 &amp; 450.2.  These inputs were previously from GSEC company books and records.  A column for a new SFA was added.  Non-SPP SFA's (Concho &amp; Coleman) were combined into Other.  Other also includes other transmission services, non-transmission and Taylor (non-SPP SFA).</t>
  </si>
  <si>
    <t>Removed the individual delivery points for each SFA and now have the total for each SFA – BCEC, GBEC, SPEC and a new SFA.</t>
  </si>
  <si>
    <t>New Allocation Factors were added.  Schedule B-1.0 - Plant, rows 107-133 show the development of plant related Allocation Factors.  Schedule C-1.0 - Expenses, rows 261-267 show the development of the expense related Allocation Factors. Schedule D-1.0, rows 11-30 show the development of additional Allocation Factors.</t>
  </si>
  <si>
    <t>p321, L77 - L47</t>
  </si>
  <si>
    <t>Note: The DSC will remain fixed at 1.5 until a FPA Section 205 filing</t>
  </si>
  <si>
    <t>Note:  Data from FERC Form 1 and company's books and records</t>
  </si>
  <si>
    <t>Note: Reference FERC Form 1 page 450.1 Footnote Data</t>
  </si>
  <si>
    <t xml:space="preserve"> </t>
  </si>
  <si>
    <t>Depreciation Rates</t>
  </si>
  <si>
    <t>Note:  Data from FERC Form 1</t>
  </si>
  <si>
    <t>Account</t>
  </si>
  <si>
    <t>Schedule J-1.0</t>
  </si>
  <si>
    <t>SCADA GSEC</t>
  </si>
  <si>
    <t>PH WIND AUX LOAD</t>
  </si>
  <si>
    <t>p207, L50 - L35,L36,L37</t>
  </si>
  <si>
    <t>Less: 360 and 374</t>
  </si>
  <si>
    <t>Total Dist Plant less 360 and 374</t>
  </si>
  <si>
    <t>p114, L12</t>
  </si>
  <si>
    <t>p114, L13</t>
  </si>
  <si>
    <t>Note: Allocation Factor 301 will remain Fixed until a FPA Section 205 filing</t>
  </si>
  <si>
    <t>Schedule G-1.0</t>
  </si>
  <si>
    <t>Per FERC staff request, Total Distribution Plant - Lines 124-127, were modified to remove Account 374.</t>
  </si>
  <si>
    <t xml:space="preserve">Expenses </t>
  </si>
  <si>
    <t>Per FERC staff request, Lines 46 (Account 556 SCADA), 226 (Depreciation - Transmission Plant), 228 (Depreciation - SCADA GSEC), 241 (Transmission Taxes) and 250 (Transmission Interest), Column H AF was changed from 208 to 204 to accurately allocate the expenses between SPP and ERCOT.</t>
  </si>
  <si>
    <t>Lines 234 and 235 - Amortization Regulatory Debits/Credits - Form 1 reference was changed from page 232, Line 1 to page 114, Lines 12 &amp; 13.</t>
  </si>
  <si>
    <r>
      <t xml:space="preserve">Added - </t>
    </r>
    <r>
      <rPr>
        <sz val="11"/>
        <color rgb="FF000000"/>
        <rFont val="Calibri"/>
        <family val="2"/>
        <scheme val="minor"/>
      </rPr>
      <t>Note: Allocation Factor 301 will remain Fixed until a FPA Section 205 filing that was inadvertently omitted during revision of the template.</t>
    </r>
  </si>
  <si>
    <t>2019 SPP Transmission Rates</t>
  </si>
  <si>
    <t>Summary of 12/31/2018 Plant Accounts</t>
  </si>
  <si>
    <t>Detailed Summary of SPP 2018 Usage</t>
  </si>
  <si>
    <t>Summary 12/31/2018 Operating Expenses</t>
  </si>
  <si>
    <t>Summary of SPP 2018 Usage</t>
  </si>
  <si>
    <t>Year Ended December 31, 2018</t>
  </si>
  <si>
    <t>Summary of Regulatory Asset Debits and Credits</t>
  </si>
  <si>
    <t>Regulatory Debits</t>
  </si>
  <si>
    <t>Regulatory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</si>
</sst>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3" formatCode="_(* #,##0.00_);_(* \(#,##0.00\);_(* &quot;-&quot;??_);_(@_)"/>
    <numFmt numFmtId="164" formatCode="_(* #,##0_);_(* \(#,##0\);_(* &quot;-&quot;??_);_(@_)"/>
    <numFmt numFmtId="165" formatCode="[$-409]mmmm\ d\,\ yyyy;@"/>
    <numFmt numFmtId="166" formatCode="_(* #,##0.000_);_(* \(#,##0.000\);_(* &quot;-&quot;??_);_(@_)"/>
    <numFmt numFmtId="167" formatCode="_(* #,##0.0_);_(* \(#,##0.0\);_(* &quot;-&quot;??_);_(@_)"/>
    <numFmt numFmtId="168" formatCode="_(* #,##0.0000_);_(* \(#,##0.0000\);_(* &quot;-&quot;??_);_(@_)"/>
  </numFmts>
  <fonts count="34"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u/>
      <sz val="10"/>
      <name val="Arial"/>
      <family val="2"/>
    </font>
    <font>
      <b/>
      <sz val="18"/>
      <name val="Arial"/>
      <family val="2"/>
    </font>
    <font>
      <b/>
      <sz val="12"/>
      <name val="Arial"/>
      <family val="2"/>
    </font>
    <font>
      <sz val="10"/>
      <color indexed="10"/>
      <name val="Arial"/>
      <family val="2"/>
    </font>
    <font>
      <sz val="14"/>
      <color theme="1"/>
      <name val="Calibri"/>
      <family val="2"/>
      <scheme val="minor"/>
    </font>
    <font>
      <sz val="18"/>
      <color theme="1"/>
      <name val="Calibri"/>
      <family val="2"/>
      <scheme val="minor"/>
    </font>
    <font>
      <sz val="28"/>
      <color theme="1"/>
      <name val="Calibri"/>
      <family val="2"/>
      <scheme val="minor"/>
    </font>
    <font>
      <sz val="10"/>
      <name val="Arial"/>
      <family val="2"/>
    </font>
    <font>
      <sz val="11"/>
      <color rgb="FFFF000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name val="Calibri"/>
      <family val="2"/>
      <scheme val="minor"/>
    </font>
    <font>
      <b/>
      <u/>
      <sz val="11"/>
      <name val="Calibri"/>
      <family val="2"/>
      <scheme val="minor"/>
    </font>
    <font>
      <sz val="11"/>
      <color rgb="FFCC00FF"/>
      <name val="Calibri"/>
      <family val="2"/>
      <scheme val="minor"/>
    </font>
    <font>
      <sz val="10"/>
      <color rgb="FFFF0000"/>
      <name val="Arial"/>
      <family val="2"/>
    </font>
    <font>
      <sz val="11"/>
      <color rgb="FF000000"/>
      <name val="Calibri"/>
      <family val="2"/>
      <scheme val="minor"/>
    </font>
  </fonts>
  <fills count="34">
    <fill>
      <patternFill patternType="none"/>
    </fill>
    <fill>
      <patternFill patternType="gray125"/>
    </fill>
    <fill>
      <patternFill patternType="gray0625">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n">
        <color indexed="64"/>
      </bottom>
      <diagonal/>
    </border>
    <border>
      <left/>
      <right/>
      <top/>
      <bottom style="double">
        <color indexed="64"/>
      </bottom>
      <diagonal/>
    </border>
    <border>
      <left/>
      <right/>
      <top style="double">
        <color indexed="8"/>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double">
        <color indexed="64"/>
      </top>
      <bottom style="double">
        <color indexed="64"/>
      </bottom>
      <diagonal/>
    </border>
  </borders>
  <cellStyleXfs count="122">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37" fontId="1" fillId="0" borderId="0">
      <alignment vertical="top"/>
    </xf>
    <xf numFmtId="0" fontId="1" fillId="0" borderId="0">
      <alignment vertical="top"/>
    </xf>
    <xf numFmtId="0" fontId="1" fillId="0" borderId="0"/>
    <xf numFmtId="40" fontId="1" fillId="0" borderId="0" applyFont="0" applyFill="0" applyBorder="0" applyAlignment="0" applyProtection="0"/>
    <xf numFmtId="10" fontId="1" fillId="0" borderId="0" applyFont="0" applyFill="0" applyBorder="0" applyAlignment="0" applyProtection="0"/>
    <xf numFmtId="4" fontId="4" fillId="0" borderId="0"/>
    <xf numFmtId="37" fontId="1" fillId="0" borderId="0" applyFont="0" applyFill="0" applyBorder="0" applyAlignment="0" applyProtection="0"/>
    <xf numFmtId="3" fontId="1" fillId="0" borderId="0" applyFont="0" applyFill="0" applyBorder="0" applyAlignment="0" applyProtection="0"/>
    <xf numFmtId="7" fontId="1" fillId="0" borderId="0" applyFont="0" applyFill="0" applyBorder="0" applyAlignment="0" applyProtection="0"/>
    <xf numFmtId="5"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3" fontId="7" fillId="2" borderId="0" applyFont="0" applyBorder="0" applyAlignment="0" applyProtection="0"/>
    <xf numFmtId="0" fontId="1" fillId="0" borderId="3" applyNumberFormat="0" applyFont="0" applyFill="0" applyAlignment="0" applyProtection="0"/>
    <xf numFmtId="0" fontId="11" fillId="0" borderId="0"/>
    <xf numFmtId="43" fontId="11" fillId="0" borderId="0" applyFon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8" applyNumberFormat="0" applyAlignment="0" applyProtection="0"/>
    <xf numFmtId="0" fontId="22" fillId="7" borderId="9" applyNumberFormat="0" applyAlignment="0" applyProtection="0"/>
    <xf numFmtId="0" fontId="23" fillId="7" borderId="8" applyNumberFormat="0" applyAlignment="0" applyProtection="0"/>
    <xf numFmtId="0" fontId="24" fillId="0" borderId="10" applyNumberFormat="0" applyFill="0" applyAlignment="0" applyProtection="0"/>
    <xf numFmtId="0" fontId="25" fillId="8" borderId="11" applyNumberFormat="0" applyAlignment="0" applyProtection="0"/>
    <xf numFmtId="0" fontId="12" fillId="0" borderId="0" applyNumberFormat="0" applyFill="0" applyBorder="0" applyAlignment="0" applyProtection="0"/>
    <xf numFmtId="0" fontId="2" fillId="9" borderId="12" applyNumberFormat="0" applyFont="0" applyAlignment="0" applyProtection="0"/>
    <xf numFmtId="0" fontId="26" fillId="0" borderId="0" applyNumberFormat="0" applyFill="0" applyBorder="0" applyAlignment="0" applyProtection="0"/>
    <xf numFmtId="0" fontId="3" fillId="0" borderId="13" applyNumberFormat="0" applyFill="0" applyAlignment="0" applyProtection="0"/>
    <xf numFmtId="0" fontId="2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33" borderId="0" applyNumberFormat="0" applyBorder="0" applyAlignment="0" applyProtection="0"/>
    <xf numFmtId="165" fontId="1" fillId="0" borderId="0"/>
    <xf numFmtId="165" fontId="17" fillId="0" borderId="7" applyNumberFormat="0" applyFill="0" applyAlignment="0" applyProtection="0"/>
    <xf numFmtId="165" fontId="1" fillId="0" borderId="0"/>
    <xf numFmtId="165" fontId="14" fillId="0" borderId="0" applyNumberFormat="0" applyFill="0" applyBorder="0" applyAlignment="0" applyProtection="0"/>
    <xf numFmtId="165" fontId="1" fillId="0" borderId="3" applyNumberFormat="0" applyFont="0" applyFill="0" applyAlignment="0" applyProtection="0"/>
    <xf numFmtId="165" fontId="16" fillId="0" borderId="6" applyNumberFormat="0" applyFill="0" applyAlignment="0" applyProtection="0"/>
    <xf numFmtId="165" fontId="2" fillId="0" borderId="0"/>
    <xf numFmtId="165" fontId="6" fillId="0" borderId="0" applyNumberForma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165" fontId="2" fillId="0" borderId="0"/>
    <xf numFmtId="165" fontId="5" fillId="0" borderId="0" applyNumberFormat="0" applyFill="0" applyBorder="0" applyAlignment="0" applyProtection="0"/>
    <xf numFmtId="165" fontId="1" fillId="0" borderId="0"/>
    <xf numFmtId="165" fontId="7" fillId="0" borderId="0"/>
    <xf numFmtId="165" fontId="15" fillId="0" borderId="5" applyNumberFormat="0" applyFill="0" applyAlignment="0" applyProtection="0"/>
    <xf numFmtId="165" fontId="2" fillId="15" borderId="0" applyNumberFormat="0" applyBorder="0" applyAlignment="0" applyProtection="0"/>
    <xf numFmtId="165" fontId="17" fillId="0" borderId="0" applyNumberFormat="0" applyFill="0" applyBorder="0" applyAlignment="0" applyProtection="0"/>
    <xf numFmtId="165" fontId="12" fillId="0" borderId="0" applyNumberFormat="0" applyFill="0" applyBorder="0" applyAlignment="0" applyProtection="0"/>
    <xf numFmtId="165" fontId="27" fillId="17" borderId="0" applyNumberFormat="0" applyBorder="0" applyAlignment="0" applyProtection="0"/>
    <xf numFmtId="165" fontId="2" fillId="9" borderId="12" applyNumberFormat="0" applyFont="0" applyAlignment="0" applyProtection="0"/>
    <xf numFmtId="165" fontId="3" fillId="0" borderId="13" applyNumberFormat="0" applyFill="0" applyAlignment="0" applyProtection="0"/>
    <xf numFmtId="165" fontId="2" fillId="11" borderId="0" applyNumberFormat="0" applyBorder="0" applyAlignment="0" applyProtection="0"/>
    <xf numFmtId="165" fontId="27" fillId="18" borderId="0" applyNumberFormat="0" applyBorder="0" applyAlignment="0" applyProtection="0"/>
    <xf numFmtId="165" fontId="18" fillId="3" borderId="0" applyNumberFormat="0" applyBorder="0" applyAlignment="0" applyProtection="0"/>
    <xf numFmtId="165" fontId="25" fillId="8" borderId="11" applyNumberFormat="0" applyAlignment="0" applyProtection="0"/>
    <xf numFmtId="165" fontId="2" fillId="19" borderId="0" applyNumberFormat="0" applyBorder="0" applyAlignment="0" applyProtection="0"/>
    <xf numFmtId="165" fontId="20" fillId="5" borderId="0" applyNumberFormat="0" applyBorder="0" applyAlignment="0" applyProtection="0"/>
    <xf numFmtId="165" fontId="19" fillId="4" borderId="0" applyNumberFormat="0" applyBorder="0" applyAlignment="0" applyProtection="0"/>
    <xf numFmtId="165" fontId="22" fillId="7" borderId="9" applyNumberFormat="0" applyAlignment="0" applyProtection="0"/>
    <xf numFmtId="165" fontId="24" fillId="0" borderId="10" applyNumberFormat="0" applyFill="0" applyAlignment="0" applyProtection="0"/>
    <xf numFmtId="165" fontId="23" fillId="7" borderId="8" applyNumberFormat="0" applyAlignment="0" applyProtection="0"/>
    <xf numFmtId="165" fontId="2" fillId="12" borderId="0" applyNumberFormat="0" applyBorder="0" applyAlignment="0" applyProtection="0"/>
    <xf numFmtId="165" fontId="27" fillId="10" borderId="0" applyNumberFormat="0" applyBorder="0" applyAlignment="0" applyProtection="0"/>
    <xf numFmtId="165" fontId="27" fillId="14" borderId="0" applyNumberFormat="0" applyBorder="0" applyAlignment="0" applyProtection="0"/>
    <xf numFmtId="165" fontId="1" fillId="0" borderId="0" applyFont="0" applyFill="0" applyBorder="0" applyAlignment="0" applyProtection="0"/>
    <xf numFmtId="165" fontId="27" fillId="13" borderId="0" applyNumberFormat="0" applyBorder="0" applyAlignment="0" applyProtection="0"/>
    <xf numFmtId="165" fontId="26" fillId="0" borderId="0" applyNumberFormat="0" applyFill="0" applyBorder="0" applyAlignment="0" applyProtection="0"/>
    <xf numFmtId="165" fontId="21" fillId="6" borderId="8" applyNumberFormat="0" applyAlignment="0" applyProtection="0"/>
    <xf numFmtId="165" fontId="2" fillId="16" borderId="0" applyNumberFormat="0" applyBorder="0" applyAlignment="0" applyProtection="0"/>
    <xf numFmtId="165" fontId="2" fillId="20" borderId="0" applyNumberFormat="0" applyBorder="0" applyAlignment="0" applyProtection="0"/>
    <xf numFmtId="165" fontId="27" fillId="21" borderId="0" applyNumberFormat="0" applyBorder="0" applyAlignment="0" applyProtection="0"/>
    <xf numFmtId="165" fontId="27" fillId="22" borderId="0" applyNumberFormat="0" applyBorder="0" applyAlignment="0" applyProtection="0"/>
    <xf numFmtId="165" fontId="2" fillId="23" borderId="0" applyNumberFormat="0" applyBorder="0" applyAlignment="0" applyProtection="0"/>
    <xf numFmtId="165" fontId="2" fillId="24" borderId="0" applyNumberFormat="0" applyBorder="0" applyAlignment="0" applyProtection="0"/>
    <xf numFmtId="165" fontId="27" fillId="25" borderId="0" applyNumberFormat="0" applyBorder="0" applyAlignment="0" applyProtection="0"/>
    <xf numFmtId="165" fontId="27" fillId="26" borderId="0" applyNumberFormat="0" applyBorder="0" applyAlignment="0" applyProtection="0"/>
    <xf numFmtId="165" fontId="2" fillId="27" borderId="0" applyNumberFormat="0" applyBorder="0" applyAlignment="0" applyProtection="0"/>
    <xf numFmtId="165" fontId="2" fillId="28" borderId="0" applyNumberFormat="0" applyBorder="0" applyAlignment="0" applyProtection="0"/>
    <xf numFmtId="165" fontId="27" fillId="29" borderId="0" applyNumberFormat="0" applyBorder="0" applyAlignment="0" applyProtection="0"/>
    <xf numFmtId="165" fontId="27" fillId="30" borderId="0" applyNumberFormat="0" applyBorder="0" applyAlignment="0" applyProtection="0"/>
    <xf numFmtId="165" fontId="2" fillId="31" borderId="0" applyNumberFormat="0" applyBorder="0" applyAlignment="0" applyProtection="0"/>
    <xf numFmtId="165" fontId="2" fillId="32" borderId="0" applyNumberFormat="0" applyBorder="0" applyAlignment="0" applyProtection="0"/>
    <xf numFmtId="165" fontId="27" fillId="33" borderId="0" applyNumberFormat="0" applyBorder="0" applyAlignment="0" applyProtection="0"/>
    <xf numFmtId="165" fontId="2" fillId="0" borderId="0"/>
  </cellStyleXfs>
  <cellXfs count="179">
    <xf numFmtId="0" fontId="0" fillId="0" borderId="0" xfId="0"/>
    <xf numFmtId="164" fontId="0" fillId="0" borderId="0" xfId="2" applyNumberFormat="1" applyFont="1" applyFill="1"/>
    <xf numFmtId="0" fontId="0" fillId="0" borderId="0" xfId="0" applyFill="1" applyBorder="1"/>
    <xf numFmtId="0" fontId="0" fillId="0" borderId="0" xfId="0" quotePrefix="1"/>
    <xf numFmtId="0" fontId="9" fillId="0" borderId="0" xfId="0" applyFont="1"/>
    <xf numFmtId="0" fontId="10" fillId="0" borderId="0" xfId="0" applyFont="1"/>
    <xf numFmtId="165" fontId="8" fillId="0" borderId="0" xfId="0" applyNumberFormat="1" applyFont="1" applyAlignment="1">
      <alignment horizontal="left"/>
    </xf>
    <xf numFmtId="0" fontId="0" fillId="0" borderId="0" xfId="0" applyAlignment="1">
      <alignment horizontal="left"/>
    </xf>
    <xf numFmtId="164" fontId="13" fillId="0" borderId="0" xfId="2" applyNumberFormat="1" applyFont="1" applyFill="1"/>
    <xf numFmtId="164" fontId="0" fillId="0" borderId="0" xfId="2" applyNumberFormat="1" applyFont="1"/>
    <xf numFmtId="164" fontId="13" fillId="0" borderId="0" xfId="2" applyNumberFormat="1" applyFont="1"/>
    <xf numFmtId="10" fontId="13" fillId="0" borderId="0" xfId="3" applyNumberFormat="1" applyFont="1"/>
    <xf numFmtId="165" fontId="13" fillId="0" borderId="0" xfId="73" applyFont="1"/>
    <xf numFmtId="10" fontId="0" fillId="0" borderId="0" xfId="3" applyNumberFormat="1" applyFont="1" applyFill="1"/>
    <xf numFmtId="0" fontId="0" fillId="0" borderId="0" xfId="0" applyFill="1" applyAlignment="1">
      <alignment horizontal="left"/>
    </xf>
    <xf numFmtId="0" fontId="0" fillId="0" borderId="0" xfId="0" quotePrefix="1" applyFill="1" applyAlignment="1">
      <alignment horizontal="center"/>
    </xf>
    <xf numFmtId="0" fontId="3" fillId="0" borderId="1" xfId="0" applyFont="1" applyFill="1" applyBorder="1"/>
    <xf numFmtId="164" fontId="13" fillId="0" borderId="0" xfId="0" applyNumberFormat="1" applyFont="1" applyFill="1"/>
    <xf numFmtId="43" fontId="0" fillId="0" borderId="0" xfId="2" applyFont="1" applyFill="1"/>
    <xf numFmtId="10" fontId="0" fillId="0" borderId="0" xfId="0" applyNumberFormat="1" applyFill="1"/>
    <xf numFmtId="164" fontId="12" fillId="0" borderId="0" xfId="2" applyNumberFormat="1" applyFont="1" applyFill="1"/>
    <xf numFmtId="0" fontId="0" fillId="0" borderId="0" xfId="0" applyFill="1"/>
    <xf numFmtId="164" fontId="0" fillId="0" borderId="0" xfId="0" applyNumberFormat="1" applyFill="1"/>
    <xf numFmtId="0" fontId="0" fillId="0" borderId="0" xfId="0" applyFill="1" applyAlignment="1">
      <alignment horizontal="center"/>
    </xf>
    <xf numFmtId="0" fontId="0" fillId="0" borderId="0" xfId="0" quotePrefix="1" applyFill="1"/>
    <xf numFmtId="164" fontId="12" fillId="0" borderId="0" xfId="0" applyNumberFormat="1" applyFont="1" applyFill="1"/>
    <xf numFmtId="164" fontId="12" fillId="0" borderId="1" xfId="0" applyNumberFormat="1" applyFont="1" applyFill="1" applyBorder="1"/>
    <xf numFmtId="164" fontId="12" fillId="0" borderId="0" xfId="2" applyNumberFormat="1" applyFont="1" applyFill="1" applyBorder="1"/>
    <xf numFmtId="164" fontId="12" fillId="0" borderId="0" xfId="0" applyNumberFormat="1" applyFont="1" applyFill="1" applyBorder="1"/>
    <xf numFmtId="164" fontId="13" fillId="0" borderId="0" xfId="0" applyNumberFormat="1" applyFont="1" applyFill="1" applyBorder="1"/>
    <xf numFmtId="164" fontId="0" fillId="0" borderId="0" xfId="0" applyNumberFormat="1" applyFill="1" applyBorder="1"/>
    <xf numFmtId="164" fontId="0" fillId="0" borderId="0" xfId="2" applyNumberFormat="1" applyFont="1" applyFill="1" applyBorder="1"/>
    <xf numFmtId="164" fontId="0" fillId="0" borderId="14" xfId="0" applyNumberFormat="1" applyFill="1" applyBorder="1"/>
    <xf numFmtId="164" fontId="0" fillId="0" borderId="14" xfId="2" applyNumberFormat="1" applyFont="1" applyFill="1" applyBorder="1"/>
    <xf numFmtId="0" fontId="0" fillId="0" borderId="0" xfId="0" applyFont="1" applyFill="1"/>
    <xf numFmtId="0" fontId="0" fillId="0" borderId="1" xfId="0" applyFont="1" applyFill="1" applyBorder="1"/>
    <xf numFmtId="164" fontId="0" fillId="0" borderId="0" xfId="0" applyNumberFormat="1" applyFont="1" applyFill="1"/>
    <xf numFmtId="0" fontId="0" fillId="0" borderId="0" xfId="0" applyFont="1" applyFill="1" applyBorder="1"/>
    <xf numFmtId="164" fontId="0" fillId="0" borderId="15" xfId="0" applyNumberFormat="1" applyFont="1" applyFill="1" applyBorder="1"/>
    <xf numFmtId="0" fontId="0" fillId="0" borderId="0" xfId="0" quotePrefix="1" applyFont="1" applyFill="1" applyAlignment="1">
      <alignment horizontal="center"/>
    </xf>
    <xf numFmtId="164" fontId="0" fillId="0" borderId="14" xfId="0" applyNumberFormat="1" applyFont="1" applyFill="1" applyBorder="1"/>
    <xf numFmtId="164" fontId="12" fillId="0" borderId="0" xfId="2" applyNumberFormat="1" applyFont="1" applyFill="1" applyAlignment="1"/>
    <xf numFmtId="0" fontId="13" fillId="0" borderId="0" xfId="24" applyFont="1" applyFill="1" applyAlignment="1">
      <alignment horizontal="center"/>
    </xf>
    <xf numFmtId="0" fontId="13" fillId="0" borderId="0" xfId="24" applyFont="1" applyFill="1"/>
    <xf numFmtId="0" fontId="2" fillId="0" borderId="0" xfId="0" applyFont="1" applyFill="1" applyAlignment="1">
      <alignment horizontal="left"/>
    </xf>
    <xf numFmtId="43" fontId="2" fillId="0" borderId="0" xfId="25" applyFont="1" applyFill="1" applyBorder="1"/>
    <xf numFmtId="43" fontId="2" fillId="0" borderId="0" xfId="25" applyFont="1" applyFill="1" applyAlignment="1">
      <alignment horizontal="center"/>
    </xf>
    <xf numFmtId="43" fontId="2" fillId="0" borderId="4" xfId="25" applyFont="1" applyFill="1" applyBorder="1"/>
    <xf numFmtId="43" fontId="2" fillId="0" borderId="0" xfId="25" applyFont="1" applyFill="1" applyBorder="1" applyAlignment="1">
      <alignment horizontal="center"/>
    </xf>
    <xf numFmtId="43" fontId="2" fillId="0" borderId="0" xfId="25" applyFont="1" applyFill="1"/>
    <xf numFmtId="0" fontId="29" fillId="0" borderId="0" xfId="24" applyFont="1" applyFill="1" applyAlignment="1">
      <alignment horizontal="center"/>
    </xf>
    <xf numFmtId="49" fontId="13" fillId="0" borderId="0" xfId="24" applyNumberFormat="1" applyFont="1" applyFill="1"/>
    <xf numFmtId="0" fontId="13" fillId="0" borderId="0" xfId="24" applyFont="1" applyFill="1" applyBorder="1"/>
    <xf numFmtId="17" fontId="13" fillId="0" borderId="0" xfId="24" applyNumberFormat="1" applyFont="1" applyFill="1" applyBorder="1"/>
    <xf numFmtId="43" fontId="13" fillId="0" borderId="0" xfId="24" applyNumberFormat="1" applyFont="1" applyFill="1"/>
    <xf numFmtId="43" fontId="13" fillId="0" borderId="0" xfId="25" applyFont="1" applyFill="1" applyBorder="1" applyAlignment="1">
      <alignment horizontal="center"/>
    </xf>
    <xf numFmtId="37" fontId="13" fillId="0" borderId="0" xfId="4" applyFont="1" applyFill="1" applyAlignment="1">
      <alignment horizontal="center"/>
    </xf>
    <xf numFmtId="0" fontId="0" fillId="0" borderId="0" xfId="0" applyFont="1" applyFill="1" applyAlignment="1">
      <alignment horizontal="left"/>
    </xf>
    <xf numFmtId="37" fontId="13" fillId="0" borderId="1" xfId="4" applyFont="1" applyFill="1" applyBorder="1" applyAlignment="1">
      <alignment horizontal="center"/>
    </xf>
    <xf numFmtId="37" fontId="13" fillId="0" borderId="0" xfId="4" applyFont="1" applyFill="1" applyAlignment="1"/>
    <xf numFmtId="10" fontId="13" fillId="0" borderId="0" xfId="3" applyNumberFormat="1" applyFont="1" applyFill="1" applyAlignment="1"/>
    <xf numFmtId="164" fontId="13" fillId="0" borderId="14" xfId="0" applyNumberFormat="1" applyFont="1" applyFill="1" applyBorder="1"/>
    <xf numFmtId="164" fontId="13" fillId="0" borderId="2" xfId="0" applyNumberFormat="1" applyFont="1" applyFill="1" applyBorder="1"/>
    <xf numFmtId="164" fontId="0" fillId="0" borderId="0" xfId="2" applyNumberFormat="1" applyFont="1" applyFill="1" applyAlignment="1">
      <alignment horizontal="center"/>
    </xf>
    <xf numFmtId="164" fontId="0" fillId="0" borderId="2" xfId="2" applyNumberFormat="1" applyFont="1" applyFill="1" applyBorder="1"/>
    <xf numFmtId="14" fontId="0" fillId="0" borderId="0" xfId="0" applyNumberFormat="1" applyFill="1" applyAlignment="1">
      <alignment horizontal="center"/>
    </xf>
    <xf numFmtId="0" fontId="0" fillId="0" borderId="1" xfId="0" applyFill="1" applyBorder="1"/>
    <xf numFmtId="164" fontId="13" fillId="0" borderId="0" xfId="0" applyNumberFormat="1" applyFont="1" applyFill="1" applyAlignment="1">
      <alignment horizontal="center"/>
    </xf>
    <xf numFmtId="164" fontId="0" fillId="0" borderId="0" xfId="0" quotePrefix="1" applyNumberFormat="1" applyFill="1" applyAlignment="1">
      <alignment horizontal="center"/>
    </xf>
    <xf numFmtId="164" fontId="0" fillId="0" borderId="14" xfId="0" quotePrefix="1" applyNumberFormat="1" applyFill="1" applyBorder="1" applyAlignment="1">
      <alignment horizontal="center"/>
    </xf>
    <xf numFmtId="164" fontId="12" fillId="0" borderId="0" xfId="0" applyNumberFormat="1" applyFont="1" applyFill="1" applyAlignment="1">
      <alignment horizontal="center"/>
    </xf>
    <xf numFmtId="9" fontId="13" fillId="0" borderId="0" xfId="3" applyFont="1" applyFill="1" applyAlignment="1"/>
    <xf numFmtId="164" fontId="13" fillId="0" borderId="0" xfId="2" applyNumberFormat="1" applyFont="1" applyFill="1" applyBorder="1"/>
    <xf numFmtId="0" fontId="13" fillId="0" borderId="0" xfId="0" applyFont="1" applyFill="1"/>
    <xf numFmtId="0" fontId="13" fillId="0" borderId="0" xfId="0" applyFont="1" applyFill="1" applyAlignment="1">
      <alignment horizontal="center"/>
    </xf>
    <xf numFmtId="0" fontId="13" fillId="0" borderId="0" xfId="0" quotePrefix="1" applyFont="1" applyFill="1" applyAlignment="1">
      <alignment horizontal="center"/>
    </xf>
    <xf numFmtId="164" fontId="13" fillId="0" borderId="0" xfId="2" applyNumberFormat="1" applyFont="1" applyFill="1" applyAlignment="1">
      <alignment horizontal="center"/>
    </xf>
    <xf numFmtId="0" fontId="0" fillId="0" borderId="0" xfId="0" applyFill="1" applyAlignment="1">
      <alignment horizontal="center"/>
    </xf>
    <xf numFmtId="0" fontId="0" fillId="0" borderId="0" xfId="0" applyFill="1" applyBorder="1" applyAlignment="1">
      <alignment horizontal="left"/>
    </xf>
    <xf numFmtId="0" fontId="0" fillId="0" borderId="0" xfId="0" applyFont="1" applyFill="1" applyBorder="1" applyAlignment="1">
      <alignment horizontal="left"/>
    </xf>
    <xf numFmtId="166" fontId="0" fillId="0" borderId="0" xfId="2" applyNumberFormat="1" applyFont="1" applyFill="1"/>
    <xf numFmtId="164" fontId="13" fillId="0" borderId="14" xfId="0" quotePrefix="1" applyNumberFormat="1" applyFont="1" applyFill="1" applyBorder="1" applyAlignment="1">
      <alignment horizontal="center"/>
    </xf>
    <xf numFmtId="164" fontId="13" fillId="0" borderId="2" xfId="2" applyNumberFormat="1" applyFont="1" applyFill="1" applyBorder="1"/>
    <xf numFmtId="164" fontId="12" fillId="0" borderId="1" xfId="2" applyNumberFormat="1" applyFont="1" applyFill="1" applyBorder="1" applyAlignment="1"/>
    <xf numFmtId="10" fontId="0" fillId="0" borderId="0" xfId="0" applyNumberFormat="1" applyFill="1" applyBorder="1"/>
    <xf numFmtId="43" fontId="0" fillId="0" borderId="0" xfId="2" applyNumberFormat="1" applyFont="1" applyFill="1"/>
    <xf numFmtId="0" fontId="3" fillId="0" borderId="0" xfId="0" applyFont="1" applyFill="1"/>
    <xf numFmtId="168" fontId="0" fillId="0" borderId="2" xfId="2" applyNumberFormat="1" applyFont="1" applyFill="1" applyBorder="1"/>
    <xf numFmtId="0" fontId="0" fillId="0" borderId="0" xfId="0" applyFont="1" applyFill="1" applyAlignment="1">
      <alignment horizontal="center"/>
    </xf>
    <xf numFmtId="0" fontId="0" fillId="0" borderId="0" xfId="0" applyFill="1" applyBorder="1" applyAlignment="1">
      <alignment horizontal="center"/>
    </xf>
    <xf numFmtId="0" fontId="31" fillId="0" borderId="0" xfId="0" applyFont="1" applyFill="1"/>
    <xf numFmtId="0" fontId="0" fillId="0" borderId="0" xfId="0" applyFill="1" applyAlignment="1">
      <alignment horizontal="center"/>
    </xf>
    <xf numFmtId="0" fontId="0" fillId="0" borderId="0" xfId="0" quotePrefix="1" applyFill="1" applyAlignment="1">
      <alignment horizontal="center"/>
    </xf>
    <xf numFmtId="164" fontId="13" fillId="0" borderId="1" xfId="0" applyNumberFormat="1" applyFont="1" applyFill="1" applyBorder="1"/>
    <xf numFmtId="37" fontId="13" fillId="0" borderId="0" xfId="4" applyFont="1" applyFill="1" applyBorder="1" applyAlignment="1">
      <alignment horizontal="center"/>
    </xf>
    <xf numFmtId="0" fontId="0" fillId="0" borderId="0" xfId="0" applyFill="1" applyAlignment="1">
      <alignment horizontal="center"/>
    </xf>
    <xf numFmtId="0" fontId="0" fillId="0" borderId="0" xfId="0" quotePrefix="1" applyFill="1" applyAlignment="1">
      <alignment horizontal="center"/>
    </xf>
    <xf numFmtId="43" fontId="0" fillId="0" borderId="0" xfId="25" applyFont="1" applyFill="1" applyAlignment="1">
      <alignment horizontal="center"/>
    </xf>
    <xf numFmtId="43" fontId="13" fillId="0" borderId="4" xfId="24" applyNumberFormat="1" applyFont="1" applyFill="1" applyBorder="1"/>
    <xf numFmtId="0" fontId="0" fillId="0" borderId="0" xfId="0" applyFont="1" applyFill="1" applyAlignment="1">
      <alignment horizontal="centerContinuous"/>
    </xf>
    <xf numFmtId="37" fontId="13" fillId="0" borderId="0" xfId="4" applyFont="1" applyFill="1" applyBorder="1" applyAlignment="1"/>
    <xf numFmtId="0" fontId="13" fillId="0" borderId="0" xfId="24" applyFont="1" applyFill="1" applyBorder="1" applyAlignment="1">
      <alignment horizontal="center"/>
    </xf>
    <xf numFmtId="0" fontId="0" fillId="0" borderId="0" xfId="0" applyFont="1" applyFill="1" applyBorder="1" applyAlignment="1">
      <alignment horizontal="center"/>
    </xf>
    <xf numFmtId="0" fontId="13" fillId="0" borderId="0" xfId="24" quotePrefix="1" applyFont="1" applyFill="1" applyBorder="1" applyAlignment="1">
      <alignment horizontal="center"/>
    </xf>
    <xf numFmtId="10" fontId="13" fillId="0" borderId="0" xfId="3" applyNumberFormat="1" applyFont="1" applyFill="1" applyAlignment="1">
      <alignment horizontal="center"/>
    </xf>
    <xf numFmtId="10" fontId="13" fillId="0" borderId="1" xfId="3" applyNumberFormat="1" applyFont="1" applyFill="1" applyBorder="1" applyAlignment="1">
      <alignment horizontal="center"/>
    </xf>
    <xf numFmtId="0" fontId="0" fillId="0" borderId="0" xfId="0" quotePrefix="1" applyFill="1" applyBorder="1" applyAlignment="1">
      <alignment horizontal="center"/>
    </xf>
    <xf numFmtId="43" fontId="0" fillId="0" borderId="0" xfId="25" applyFont="1" applyFill="1" applyBorder="1" applyAlignment="1">
      <alignment horizontal="center"/>
    </xf>
    <xf numFmtId="0" fontId="0" fillId="0" borderId="0" xfId="0" quotePrefix="1" applyFill="1" applyAlignment="1">
      <alignment horizontal="center"/>
    </xf>
    <xf numFmtId="164" fontId="13" fillId="0" borderId="2" xfId="0" applyNumberFormat="1" applyFont="1" applyFill="1" applyBorder="1" applyAlignment="1">
      <alignment vertical="center"/>
    </xf>
    <xf numFmtId="164" fontId="0" fillId="0" borderId="0" xfId="3" applyNumberFormat="1" applyFont="1" applyFill="1"/>
    <xf numFmtId="166" fontId="0" fillId="0" borderId="0" xfId="0" applyNumberFormat="1" applyFill="1"/>
    <xf numFmtId="0" fontId="0" fillId="0" borderId="0" xfId="0" applyFill="1" applyAlignment="1">
      <alignment horizontal="center"/>
    </xf>
    <xf numFmtId="0" fontId="3" fillId="0" borderId="0" xfId="0" applyFont="1" applyFill="1" applyBorder="1"/>
    <xf numFmtId="0" fontId="0" fillId="0" borderId="0" xfId="0" applyAlignment="1">
      <alignment vertical="center"/>
    </xf>
    <xf numFmtId="0" fontId="0" fillId="0" borderId="0" xfId="0" applyFill="1" applyAlignment="1">
      <alignment horizontal="left" vertical="top" wrapText="1"/>
    </xf>
    <xf numFmtId="0" fontId="0" fillId="0" borderId="0" xfId="0" applyFill="1" applyAlignment="1">
      <alignment horizontal="center" vertical="top"/>
    </xf>
    <xf numFmtId="0" fontId="0" fillId="0" borderId="0" xfId="0" quotePrefix="1" applyFill="1" applyAlignment="1">
      <alignment horizontal="center" vertical="top"/>
    </xf>
    <xf numFmtId="0" fontId="0" fillId="0" borderId="0" xfId="0" applyFill="1" applyAlignment="1">
      <alignment horizontal="center"/>
    </xf>
    <xf numFmtId="0" fontId="0" fillId="0" borderId="0" xfId="0" quotePrefix="1" applyFill="1" applyAlignment="1">
      <alignment horizontal="center"/>
    </xf>
    <xf numFmtId="0" fontId="0" fillId="0" borderId="1" xfId="0" applyFill="1" applyBorder="1" applyAlignment="1">
      <alignment horizontal="center"/>
    </xf>
    <xf numFmtId="0" fontId="0" fillId="0" borderId="0" xfId="0" applyFill="1" applyBorder="1" applyAlignment="1">
      <alignment horizontal="center"/>
    </xf>
    <xf numFmtId="37" fontId="13" fillId="0" borderId="0" xfId="4" applyFont="1" applyFill="1" applyAlignment="1">
      <alignment horizontal="centerContinuous"/>
    </xf>
    <xf numFmtId="0" fontId="13" fillId="0" borderId="0" xfId="5" applyFont="1" applyFill="1" applyAlignment="1"/>
    <xf numFmtId="0" fontId="13" fillId="0" borderId="0" xfId="6" applyFont="1" applyFill="1"/>
    <xf numFmtId="37" fontId="13" fillId="0" borderId="0" xfId="4" quotePrefix="1" applyFont="1" applyFill="1" applyAlignment="1">
      <alignment horizontal="center"/>
    </xf>
    <xf numFmtId="37" fontId="13" fillId="0" borderId="0" xfId="4" quotePrefix="1" applyFont="1" applyFill="1" applyAlignment="1"/>
    <xf numFmtId="37" fontId="13" fillId="0" borderId="1" xfId="4" applyFont="1" applyFill="1" applyBorder="1" applyAlignment="1"/>
    <xf numFmtId="0" fontId="2" fillId="0" borderId="0" xfId="0" applyFont="1" applyFill="1"/>
    <xf numFmtId="10" fontId="13" fillId="0" borderId="1" xfId="3" applyNumberFormat="1" applyFont="1" applyFill="1" applyBorder="1" applyAlignment="1"/>
    <xf numFmtId="164" fontId="13" fillId="0" borderId="0" xfId="2" applyNumberFormat="1" applyFont="1" applyFill="1" applyAlignment="1"/>
    <xf numFmtId="37" fontId="30" fillId="0" borderId="0" xfId="4" applyFont="1" applyFill="1" applyAlignment="1"/>
    <xf numFmtId="164" fontId="13" fillId="0" borderId="0" xfId="3" applyNumberFormat="1" applyFont="1" applyFill="1" applyAlignment="1"/>
    <xf numFmtId="164" fontId="0" fillId="0" borderId="1" xfId="2" applyNumberFormat="1" applyFont="1" applyFill="1" applyBorder="1"/>
    <xf numFmtId="167" fontId="0" fillId="0" borderId="0" xfId="2" applyNumberFormat="1" applyFont="1" applyFill="1"/>
    <xf numFmtId="0" fontId="0" fillId="0" borderId="0" xfId="0" applyFill="1" applyAlignment="1">
      <alignment horizontal="center"/>
    </xf>
    <xf numFmtId="0" fontId="0" fillId="0" borderId="0" xfId="0" applyFont="1" applyFill="1" applyAlignment="1">
      <alignment horizontal="center"/>
    </xf>
    <xf numFmtId="14" fontId="0" fillId="0" borderId="0" xfId="0" applyNumberFormat="1" applyFill="1" applyAlignment="1">
      <alignment horizontal="center" vertical="top"/>
    </xf>
    <xf numFmtId="0" fontId="0" fillId="0" borderId="0" xfId="0" applyFill="1" applyAlignment="1">
      <alignment horizontal="center"/>
    </xf>
    <xf numFmtId="0" fontId="0" fillId="0" borderId="0" xfId="0" applyFill="1" applyAlignment="1">
      <alignment horizontal="centerContinuous"/>
    </xf>
    <xf numFmtId="37" fontId="1" fillId="0" borderId="0" xfId="4" applyFill="1" applyAlignment="1"/>
    <xf numFmtId="37" fontId="1" fillId="0" borderId="0" xfId="4" applyFill="1" applyBorder="1" applyAlignment="1"/>
    <xf numFmtId="0" fontId="1" fillId="0" borderId="0" xfId="75" applyFont="1" applyFill="1" applyAlignment="1">
      <alignment horizontal="center"/>
    </xf>
    <xf numFmtId="37" fontId="1" fillId="0" borderId="0" xfId="4" applyFill="1" applyAlignment="1">
      <alignment horizontal="left"/>
    </xf>
    <xf numFmtId="39" fontId="1" fillId="0" borderId="0" xfId="4" applyNumberFormat="1" applyFont="1" applyFill="1" applyAlignment="1"/>
    <xf numFmtId="37" fontId="32" fillId="0" borderId="0" xfId="4" applyFont="1" applyFill="1" applyAlignment="1"/>
    <xf numFmtId="10" fontId="1" fillId="0" borderId="0" xfId="3" applyNumberFormat="1" applyFont="1" applyFill="1" applyAlignment="1"/>
    <xf numFmtId="0" fontId="0" fillId="0" borderId="0" xfId="0" applyFill="1" applyAlignment="1">
      <alignment horizontal="center"/>
    </xf>
    <xf numFmtId="37" fontId="13" fillId="0" borderId="0" xfId="4" applyFont="1" applyFill="1" applyAlignment="1">
      <alignment horizontal="center"/>
    </xf>
    <xf numFmtId="43" fontId="12" fillId="0" borderId="0" xfId="25" applyFont="1" applyFill="1" applyBorder="1"/>
    <xf numFmtId="43" fontId="13" fillId="0" borderId="0" xfId="25" applyFont="1" applyFill="1" applyBorder="1"/>
    <xf numFmtId="0" fontId="0" fillId="0" borderId="0" xfId="0" applyFill="1" applyAlignment="1">
      <alignment horizontal="center"/>
    </xf>
    <xf numFmtId="0" fontId="0" fillId="0" borderId="0" xfId="0" quotePrefix="1" applyFill="1" applyAlignment="1">
      <alignment horizontal="center"/>
    </xf>
    <xf numFmtId="0" fontId="0" fillId="0" borderId="0" xfId="0" applyFill="1" applyAlignment="1">
      <alignment horizontal="center"/>
    </xf>
    <xf numFmtId="0" fontId="0" fillId="0" borderId="0" xfId="0" quotePrefix="1" applyFill="1" applyAlignment="1">
      <alignment horizontal="center"/>
    </xf>
    <xf numFmtId="43" fontId="2" fillId="0" borderId="0" xfId="76" applyFont="1" applyFill="1" applyBorder="1"/>
    <xf numFmtId="43" fontId="12" fillId="0" borderId="0" xfId="76" applyFont="1" applyFill="1" applyBorder="1"/>
    <xf numFmtId="37" fontId="12" fillId="0" borderId="0" xfId="4" applyFont="1" applyFill="1" applyAlignment="1">
      <alignment horizontal="center"/>
    </xf>
    <xf numFmtId="37" fontId="12" fillId="0" borderId="0" xfId="4" applyFont="1" applyFill="1" applyBorder="1" applyAlignment="1">
      <alignment horizontal="center"/>
    </xf>
    <xf numFmtId="37" fontId="12" fillId="0" borderId="1" xfId="4" applyFont="1" applyFill="1" applyBorder="1" applyAlignment="1">
      <alignment horizontal="center"/>
    </xf>
    <xf numFmtId="43" fontId="0" fillId="0" borderId="0" xfId="0" applyNumberFormat="1" applyFill="1"/>
    <xf numFmtId="0" fontId="0" fillId="0" borderId="0" xfId="0" applyFill="1" applyAlignment="1">
      <alignment horizontal="center"/>
    </xf>
    <xf numFmtId="164" fontId="12" fillId="0" borderId="0" xfId="2" applyNumberFormat="1" applyFont="1" applyFill="1"/>
    <xf numFmtId="164" fontId="12" fillId="0" borderId="0" xfId="2" applyNumberFormat="1" applyFont="1" applyFill="1"/>
    <xf numFmtId="0" fontId="0" fillId="0" borderId="0" xfId="0" applyAlignment="1">
      <alignment horizontal="center"/>
    </xf>
    <xf numFmtId="164" fontId="12" fillId="0" borderId="1" xfId="2" applyNumberFormat="1" applyFont="1" applyFill="1" applyBorder="1"/>
    <xf numFmtId="164" fontId="0" fillId="0" borderId="0" xfId="0" applyNumberFormat="1"/>
    <xf numFmtId="164" fontId="12" fillId="0" borderId="0" xfId="2" applyNumberFormat="1" applyFont="1"/>
    <xf numFmtId="164" fontId="12" fillId="0" borderId="1" xfId="2" applyNumberFormat="1" applyFont="1" applyBorder="1"/>
    <xf numFmtId="0" fontId="0" fillId="0" borderId="0" xfId="0" applyFill="1" applyAlignment="1"/>
    <xf numFmtId="0" fontId="0" fillId="0" borderId="0" xfId="0" applyFill="1" applyAlignment="1">
      <alignment horizontal="center"/>
    </xf>
    <xf numFmtId="0" fontId="0" fillId="0" borderId="0" xfId="0" quotePrefix="1" applyFill="1" applyAlignment="1">
      <alignment horizontal="center"/>
    </xf>
    <xf numFmtId="0" fontId="0" fillId="0" borderId="1" xfId="0" applyFill="1" applyBorder="1" applyAlignment="1">
      <alignment horizontal="center"/>
    </xf>
    <xf numFmtId="0" fontId="0" fillId="0" borderId="0" xfId="0" applyFill="1" applyBorder="1" applyAlignment="1">
      <alignment horizontal="center"/>
    </xf>
    <xf numFmtId="0" fontId="0" fillId="0" borderId="0" xfId="0" applyFont="1" applyFill="1" applyAlignment="1">
      <alignment horizontal="center"/>
    </xf>
    <xf numFmtId="37" fontId="13" fillId="0" borderId="0" xfId="4" applyFont="1" applyFill="1" applyAlignment="1">
      <alignment horizontal="center"/>
    </xf>
    <xf numFmtId="0" fontId="28" fillId="0" borderId="0" xfId="24" applyFont="1" applyFill="1" applyAlignment="1">
      <alignment horizontal="center"/>
    </xf>
    <xf numFmtId="0" fontId="0" fillId="0" borderId="0" xfId="0" applyAlignment="1">
      <alignment horizontal="center"/>
    </xf>
    <xf numFmtId="0" fontId="0" fillId="0" borderId="0" xfId="0" quotePrefix="1" applyFill="1" applyBorder="1" applyAlignment="1">
      <alignment horizontal="center"/>
    </xf>
  </cellXfs>
  <cellStyles count="122">
    <cellStyle name="20% - Accent1" xfId="44" builtinId="30" customBuiltin="1"/>
    <cellStyle name="20% - Accent1 2" xfId="89" xr:uid="{00000000-0005-0000-0000-000001000000}"/>
    <cellStyle name="20% - Accent2" xfId="48" builtinId="34" customBuiltin="1"/>
    <cellStyle name="20% - Accent2 2" xfId="83" xr:uid="{00000000-0005-0000-0000-000003000000}"/>
    <cellStyle name="20% - Accent3" xfId="52" builtinId="38" customBuiltin="1"/>
    <cellStyle name="20% - Accent3 2" xfId="93" xr:uid="{00000000-0005-0000-0000-000005000000}"/>
    <cellStyle name="20% - Accent4" xfId="56" builtinId="42" customBuiltin="1"/>
    <cellStyle name="20% - Accent4 2" xfId="110" xr:uid="{00000000-0005-0000-0000-000007000000}"/>
    <cellStyle name="20% - Accent5" xfId="60" builtinId="46" customBuiltin="1"/>
    <cellStyle name="20% - Accent5 2" xfId="114" xr:uid="{00000000-0005-0000-0000-000009000000}"/>
    <cellStyle name="20% - Accent6" xfId="64" builtinId="50" customBuiltin="1"/>
    <cellStyle name="20% - Accent6 2" xfId="118" xr:uid="{00000000-0005-0000-0000-00000B000000}"/>
    <cellStyle name="40% - Accent1" xfId="45" builtinId="31" customBuiltin="1"/>
    <cellStyle name="40% - Accent1 2" xfId="99" xr:uid="{00000000-0005-0000-0000-00000D000000}"/>
    <cellStyle name="40% - Accent2" xfId="49" builtinId="35" customBuiltin="1"/>
    <cellStyle name="40% - Accent2 2" xfId="106" xr:uid="{00000000-0005-0000-0000-00000F000000}"/>
    <cellStyle name="40% - Accent3" xfId="53" builtinId="39" customBuiltin="1"/>
    <cellStyle name="40% - Accent3 2" xfId="107" xr:uid="{00000000-0005-0000-0000-000011000000}"/>
    <cellStyle name="40% - Accent4" xfId="57" builtinId="43" customBuiltin="1"/>
    <cellStyle name="40% - Accent4 2" xfId="111" xr:uid="{00000000-0005-0000-0000-000013000000}"/>
    <cellStyle name="40% - Accent5" xfId="61" builtinId="47" customBuiltin="1"/>
    <cellStyle name="40% - Accent5 2" xfId="115" xr:uid="{00000000-0005-0000-0000-000015000000}"/>
    <cellStyle name="40% - Accent6" xfId="65" builtinId="51" customBuiltin="1"/>
    <cellStyle name="40% - Accent6 2" xfId="119" xr:uid="{00000000-0005-0000-0000-000017000000}"/>
    <cellStyle name="60% - Accent1" xfId="46" builtinId="32" customBuiltin="1"/>
    <cellStyle name="60% - Accent1 2" xfId="103" xr:uid="{00000000-0005-0000-0000-000019000000}"/>
    <cellStyle name="60% - Accent2" xfId="50" builtinId="36" customBuiltin="1"/>
    <cellStyle name="60% - Accent2 2" xfId="86" xr:uid="{00000000-0005-0000-0000-00001B000000}"/>
    <cellStyle name="60% - Accent3" xfId="54" builtinId="40" customBuiltin="1"/>
    <cellStyle name="60% - Accent3 2" xfId="108" xr:uid="{00000000-0005-0000-0000-00001D000000}"/>
    <cellStyle name="60% - Accent4" xfId="58" builtinId="44" customBuiltin="1"/>
    <cellStyle name="60% - Accent4 2" xfId="112" xr:uid="{00000000-0005-0000-0000-00001F000000}"/>
    <cellStyle name="60% - Accent5" xfId="62" builtinId="48" customBuiltin="1"/>
    <cellStyle name="60% - Accent5 2" xfId="116" xr:uid="{00000000-0005-0000-0000-000021000000}"/>
    <cellStyle name="60% - Accent6" xfId="66" builtinId="52" customBuiltin="1"/>
    <cellStyle name="60% - Accent6 2" xfId="120" xr:uid="{00000000-0005-0000-0000-000023000000}"/>
    <cellStyle name="Accent1" xfId="43" builtinId="29" customBuiltin="1"/>
    <cellStyle name="Accent1 2" xfId="100" xr:uid="{00000000-0005-0000-0000-000025000000}"/>
    <cellStyle name="Accent2" xfId="47" builtinId="33" customBuiltin="1"/>
    <cellStyle name="Accent2 2" xfId="101" xr:uid="{00000000-0005-0000-0000-000027000000}"/>
    <cellStyle name="Accent3" xfId="51" builtinId="37" customBuiltin="1"/>
    <cellStyle name="Accent3 2" xfId="90" xr:uid="{00000000-0005-0000-0000-000029000000}"/>
    <cellStyle name="Accent4" xfId="55" builtinId="41" customBuiltin="1"/>
    <cellStyle name="Accent4 2" xfId="109" xr:uid="{00000000-0005-0000-0000-00002B000000}"/>
    <cellStyle name="Accent5" xfId="59" builtinId="45" customBuiltin="1"/>
    <cellStyle name="Accent5 2" xfId="113" xr:uid="{00000000-0005-0000-0000-00002D000000}"/>
    <cellStyle name="Accent6" xfId="63" builtinId="49" customBuiltin="1"/>
    <cellStyle name="Accent6 2" xfId="117" xr:uid="{00000000-0005-0000-0000-00002F000000}"/>
    <cellStyle name="Bad" xfId="32" builtinId="27" customBuiltin="1"/>
    <cellStyle name="Bad 2" xfId="95" xr:uid="{00000000-0005-0000-0000-000031000000}"/>
    <cellStyle name="BoldU" xfId="9" xr:uid="{00000000-0005-0000-0000-000032000000}"/>
    <cellStyle name="Calculation" xfId="36" builtinId="22" customBuiltin="1"/>
    <cellStyle name="Calculation 2" xfId="98" xr:uid="{00000000-0005-0000-0000-000034000000}"/>
    <cellStyle name="Check Cell" xfId="38" builtinId="23" customBuiltin="1"/>
    <cellStyle name="Check Cell 2" xfId="92" xr:uid="{00000000-0005-0000-0000-000036000000}"/>
    <cellStyle name="Comma" xfId="2" builtinId="3"/>
    <cellStyle name="Comma 2" xfId="7" xr:uid="{00000000-0005-0000-0000-000038000000}"/>
    <cellStyle name="Comma 3" xfId="25" xr:uid="{00000000-0005-0000-0000-000039000000}"/>
    <cellStyle name="Comma 3 2" xfId="76" xr:uid="{00000000-0005-0000-0000-00003A000000}"/>
    <cellStyle name="Comma0" xfId="10" xr:uid="{00000000-0005-0000-0000-00003B000000}"/>
    <cellStyle name="Comma0 2" xfId="11" xr:uid="{00000000-0005-0000-0000-00003C000000}"/>
    <cellStyle name="Currency 2" xfId="12" xr:uid="{00000000-0005-0000-0000-00003D000000}"/>
    <cellStyle name="Currency0" xfId="13" xr:uid="{00000000-0005-0000-0000-00003E000000}"/>
    <cellStyle name="Currency0 2" xfId="14" xr:uid="{00000000-0005-0000-0000-00003F000000}"/>
    <cellStyle name="Date" xfId="15" xr:uid="{00000000-0005-0000-0000-000040000000}"/>
    <cellStyle name="Date 2" xfId="16" xr:uid="{00000000-0005-0000-0000-000041000000}"/>
    <cellStyle name="Date 2 2" xfId="102" xr:uid="{00000000-0005-0000-0000-000042000000}"/>
    <cellStyle name="Date 3" xfId="77" xr:uid="{00000000-0005-0000-0000-000043000000}"/>
    <cellStyle name="Explanatory Text" xfId="41" builtinId="53" customBuiltin="1"/>
    <cellStyle name="Explanatory Text 2" xfId="104" xr:uid="{00000000-0005-0000-0000-000045000000}"/>
    <cellStyle name="Fixed" xfId="17" xr:uid="{00000000-0005-0000-0000-000046000000}"/>
    <cellStyle name="Fixed 2" xfId="18" xr:uid="{00000000-0005-0000-0000-000047000000}"/>
    <cellStyle name="Good" xfId="31" builtinId="26" customBuiltin="1"/>
    <cellStyle name="Good 2" xfId="91" xr:uid="{00000000-0005-0000-0000-000049000000}"/>
    <cellStyle name="Heading 1" xfId="27" builtinId="16" customBuiltin="1"/>
    <cellStyle name="Heading 1 2" xfId="19" xr:uid="{00000000-0005-0000-0000-00004B000000}"/>
    <cellStyle name="Heading 1 2 2" xfId="79" xr:uid="{00000000-0005-0000-0000-00004C000000}"/>
    <cellStyle name="Heading 1 3" xfId="82" xr:uid="{00000000-0005-0000-0000-00004D000000}"/>
    <cellStyle name="Heading 2" xfId="28" builtinId="17" customBuiltin="1"/>
    <cellStyle name="Heading 2 2" xfId="20" xr:uid="{00000000-0005-0000-0000-00004F000000}"/>
    <cellStyle name="Heading 2 2 2" xfId="74" xr:uid="{00000000-0005-0000-0000-000050000000}"/>
    <cellStyle name="Heading 2 3" xfId="72" xr:uid="{00000000-0005-0000-0000-000051000000}"/>
    <cellStyle name="Heading 3" xfId="29" builtinId="18" customBuiltin="1"/>
    <cellStyle name="Heading 3 2" xfId="68" xr:uid="{00000000-0005-0000-0000-000053000000}"/>
    <cellStyle name="Heading 4" xfId="30" builtinId="19" customBuiltin="1"/>
    <cellStyle name="Heading 4 2" xfId="84" xr:uid="{00000000-0005-0000-0000-000055000000}"/>
    <cellStyle name="Input" xfId="34" builtinId="20" customBuiltin="1"/>
    <cellStyle name="Input 2" xfId="105" xr:uid="{00000000-0005-0000-0000-000057000000}"/>
    <cellStyle name="Input(Normal)" xfId="21" xr:uid="{00000000-0005-0000-0000-000058000000}"/>
    <cellStyle name="Input(Normal) 2" xfId="81" xr:uid="{00000000-0005-0000-0000-000059000000}"/>
    <cellStyle name="Input0" xfId="22" xr:uid="{00000000-0005-0000-0000-00005A000000}"/>
    <cellStyle name="Linked Cell" xfId="37" builtinId="24" customBuiltin="1"/>
    <cellStyle name="Linked Cell 2" xfId="97" xr:uid="{00000000-0005-0000-0000-00005C000000}"/>
    <cellStyle name="Neutral" xfId="33" builtinId="28" customBuiltin="1"/>
    <cellStyle name="Neutral 2" xfId="94" xr:uid="{00000000-0005-0000-0000-00005E000000}"/>
    <cellStyle name="Normal" xfId="0" builtinId="0"/>
    <cellStyle name="Normal 2" xfId="1" xr:uid="{00000000-0005-0000-0000-000060000000}"/>
    <cellStyle name="Normal 2 2" xfId="69" xr:uid="{00000000-0005-0000-0000-000061000000}"/>
    <cellStyle name="Normal 3" xfId="4" xr:uid="{00000000-0005-0000-0000-000062000000}"/>
    <cellStyle name="Normal 4" xfId="24" xr:uid="{00000000-0005-0000-0000-000063000000}"/>
    <cellStyle name="Normal 4 2" xfId="75" xr:uid="{00000000-0005-0000-0000-000064000000}"/>
    <cellStyle name="Normal 4 2 2" xfId="80" xr:uid="{00000000-0005-0000-0000-000065000000}"/>
    <cellStyle name="Normal 4 3" xfId="67" xr:uid="{00000000-0005-0000-0000-000066000000}"/>
    <cellStyle name="Normal 5" xfId="78" xr:uid="{00000000-0005-0000-0000-000067000000}"/>
    <cellStyle name="Normal 6" xfId="73" xr:uid="{00000000-0005-0000-0000-000068000000}"/>
    <cellStyle name="Normal 7" xfId="121" xr:uid="{00000000-0005-0000-0000-000069000000}"/>
    <cellStyle name="Normal_MVEC_TCOS" xfId="5" xr:uid="{00000000-0005-0000-0000-00006A000000}"/>
    <cellStyle name="Normal_SubSummary" xfId="6" xr:uid="{00000000-0005-0000-0000-00006B000000}"/>
    <cellStyle name="Note" xfId="40" builtinId="10" customBuiltin="1"/>
    <cellStyle name="Note 2" xfId="87" xr:uid="{00000000-0005-0000-0000-00006D000000}"/>
    <cellStyle name="Output" xfId="35" builtinId="21" customBuiltin="1"/>
    <cellStyle name="Output 2" xfId="96" xr:uid="{00000000-0005-0000-0000-00006F000000}"/>
    <cellStyle name="Percent" xfId="3" builtinId="5"/>
    <cellStyle name="Percent 2" xfId="8" xr:uid="{00000000-0005-0000-0000-000071000000}"/>
    <cellStyle name="Title" xfId="26" builtinId="15" customBuiltin="1"/>
    <cellStyle name="Title 2" xfId="70" xr:uid="{00000000-0005-0000-0000-000073000000}"/>
    <cellStyle name="Total" xfId="42" builtinId="25" customBuiltin="1"/>
    <cellStyle name="Total 2" xfId="23" xr:uid="{00000000-0005-0000-0000-000075000000}"/>
    <cellStyle name="Total 2 2" xfId="71" xr:uid="{00000000-0005-0000-0000-000076000000}"/>
    <cellStyle name="Total 3" xfId="88" xr:uid="{00000000-0005-0000-0000-000077000000}"/>
    <cellStyle name="Warning Text" xfId="39" builtinId="11" customBuiltin="1"/>
    <cellStyle name="Warning Text 2" xfId="85" xr:uid="{00000000-0005-0000-0000-00007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ork\AEPCO\Financial_Frcst\Files_Beling\Task%20C%20BUM%20-%20Allocation%20Calculations%20v1.08%20(2018)%20Pooled-Gas%20Group%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xcel%20Files\2014%20Budget\2013%20gs%20budget_v4%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silon.guernsey.chguernsey.com\office\TEMP\CStover\TCOS\GSEC_TCOS_Amended_05-03-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AEPCO\Financial_Frcst\Files_Beling\Task%20C%20Spreadsheet%20Model%20-%20Template%20for%20Financial%20Forecast%20Outputs%20v1.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_model"/>
      <sheetName val="hourly_inputs"/>
      <sheetName val="input_formatted"/>
      <sheetName val="other_inputs"/>
      <sheetName val="hourly_outputs"/>
      <sheetName val="AC_summary"/>
      <sheetName val="Unit_Cost"/>
      <sheetName val="Step_1_nomination_&amp;_dispatch"/>
      <sheetName val="Step_2A_Member_Trades_Base"/>
      <sheetName val="Step_2B_Member_Trades_Pooled_Ga"/>
      <sheetName val="Step_3_ATF"/>
      <sheetName val="Step_4_BUP"/>
      <sheetName val="Step_5_energy_accounting"/>
      <sheetName val="Step_6_cost_allocation"/>
    </sheetNames>
    <sheetDataSet>
      <sheetData sheetId="0"/>
      <sheetData sheetId="1">
        <row r="2">
          <cell r="E2">
            <v>40</v>
          </cell>
        </row>
        <row r="3">
          <cell r="E3">
            <v>38</v>
          </cell>
        </row>
      </sheetData>
      <sheetData sheetId="2"/>
      <sheetData sheetId="3">
        <row r="18">
          <cell r="F18">
            <v>0.15</v>
          </cell>
        </row>
        <row r="19">
          <cell r="F19">
            <v>1.45</v>
          </cell>
        </row>
      </sheetData>
      <sheetData sheetId="4"/>
      <sheetData sheetId="5"/>
      <sheetData sheetId="6">
        <row r="7">
          <cell r="M7">
            <v>30.557344632768359</v>
          </cell>
          <cell r="N7">
            <v>20.064124293785312</v>
          </cell>
        </row>
      </sheetData>
      <sheetData sheetId="7"/>
      <sheetData sheetId="8">
        <row r="10">
          <cell r="L10">
            <v>38</v>
          </cell>
        </row>
      </sheetData>
      <sheetData sheetId="9">
        <row r="10">
          <cell r="L10">
            <v>38</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 Cover"/>
      <sheetName val="SSR Rate Sum"/>
      <sheetName val="Chart1"/>
      <sheetName val="Chart2"/>
      <sheetName val="Chart3"/>
      <sheetName val="Chart4"/>
      <sheetName val="Chart5"/>
      <sheetName val="Compare 1"/>
      <sheetName val="Compare 2"/>
      <sheetName val="Budget Pres"/>
      <sheetName val="Comp Var"/>
      <sheetName val="Comp ConsIncst"/>
      <sheetName val="Cons IncSt "/>
      <sheetName val="GS IncSt"/>
      <sheetName val="Summ Rev"/>
      <sheetName val="Avg Rate"/>
      <sheetName val="GSEC Capital Budget "/>
      <sheetName val="Input Cover"/>
      <sheetName val="Input Margin &amp; Sum"/>
      <sheetName val="Input Fuel"/>
      <sheetName val="Input Rates"/>
      <sheetName val="Input Fin"/>
      <sheetName val="Input Usage"/>
      <sheetName val="Input Disp"/>
      <sheetName val="CapSub"/>
      <sheetName val="Revision"/>
      <sheetName val="GSEC Cover"/>
      <sheetName val="Admin"/>
      <sheetName val="Wage"/>
      <sheetName val="Directors"/>
      <sheetName val="LOC"/>
      <sheetName val="Rent"/>
      <sheetName val="Depr"/>
      <sheetName val="Search Exp"/>
      <sheetName val="Travel "/>
      <sheetName val="IT"/>
      <sheetName val="Misc"/>
      <sheetName val="Tax &amp; Insurance"/>
      <sheetName val="Misc Exp."/>
      <sheetName val="GSEC Comm"/>
      <sheetName val="Project Data"/>
      <sheetName val="Proj Sum"/>
      <sheetName val="Proj Acct"/>
      <sheetName val="M123"/>
      <sheetName val="M456"/>
      <sheetName val="Antelope "/>
      <sheetName val="Debt Data"/>
      <sheetName val="Summ Debt"/>
      <sheetName val="2013 Private Placement"/>
      <sheetName val="2011 PrivPlacement"/>
      <sheetName val="2011 PrivPlacement Amort"/>
      <sheetName val="2005 PrivPlacement"/>
      <sheetName val="2005 PrivPlacement Amort"/>
      <sheetName val="SFA"/>
      <sheetName val="Allocation"/>
      <sheetName val="SumAlloc"/>
      <sheetName val="GSEC Comm Debt"/>
      <sheetName val="Mustang Cap PPA "/>
      <sheetName val="YEGC Cap PPA"/>
      <sheetName val="AEGC Cap Debt"/>
      <sheetName val="Dispatch"/>
      <sheetName val="SPP Disp"/>
      <sheetName val="ERCOT Disp"/>
      <sheetName val="FCGS Cover "/>
      <sheetName val="FCGS IncSt"/>
      <sheetName val="FCGS Exp"/>
      <sheetName val="FCGS Dep Int Rev"/>
      <sheetName val="GSPW Cover  "/>
      <sheetName val="GSPWR CompIncst "/>
      <sheetName val="GSPWR  IncSt  "/>
      <sheetName val="GSPWR Exp"/>
      <sheetName val="GSPWR Disp"/>
      <sheetName val="Rolyalty"/>
      <sheetName val="GSPWR Debt Amort "/>
      <sheetName val="GSPWR Forecast"/>
      <sheetName val="PP Data"/>
      <sheetName val="Sum PP"/>
      <sheetName val="SPS PR"/>
      <sheetName val="SPP Mkt"/>
      <sheetName val="MincoPPA"/>
      <sheetName val="AEPEP PP"/>
      <sheetName val="DSR Cost"/>
      <sheetName val="Trans Ancil"/>
      <sheetName val="Summ Tran Ancl Dist"/>
      <sheetName val="SPP Tran Anc Dist"/>
      <sheetName val="ERCOT Tran Anc Dist"/>
      <sheetName val="Rate Design Cover"/>
      <sheetName val="COS Sum"/>
      <sheetName val="AF"/>
      <sheetName val="Fuel Recover"/>
      <sheetName val="Rate Design"/>
      <sheetName val="SSR Rev"/>
      <sheetName val="SSR Rev (2)"/>
      <sheetName val="Summary"/>
      <sheetName val="Billing Sum"/>
      <sheetName val="Bailey"/>
      <sheetName val="Big Country"/>
      <sheetName val="Coleman"/>
      <sheetName val="Concho"/>
      <sheetName val="Deaf Smith"/>
      <sheetName val="Greenbelt"/>
      <sheetName val="Lamb County"/>
      <sheetName val="Lighthouse"/>
      <sheetName val="Lyntegar"/>
      <sheetName val="North Plains"/>
      <sheetName val="Rita Blanca"/>
      <sheetName val="South Plains"/>
      <sheetName val="SW Texas"/>
      <sheetName val="Swisher"/>
      <sheetName val="Taylor"/>
      <sheetName val="Tri-County"/>
    </sheetNames>
    <sheetDataSet>
      <sheetData sheetId="0">
        <row r="15">
          <cell r="B15" t="str">
            <v xml:space="preserve">2013 Budget  </v>
          </cell>
        </row>
      </sheetData>
      <sheetData sheetId="1"/>
      <sheetData sheetId="2"/>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 Accounts"/>
      <sheetName val="INPUTS - Other"/>
      <sheetName val="LTDEBT"/>
      <sheetName val="Sched A TCOS_Summary"/>
      <sheetName val="Sched B Rate Base"/>
      <sheetName val="Sched B1 Plant"/>
      <sheetName val="Sched B2 GeneralPlant"/>
      <sheetName val="Sched B3 Comm_Equip"/>
      <sheetName val="Sched B4 CWIP"/>
      <sheetName val="Sched B5 Accum_Dep"/>
      <sheetName val="Sched B6 PlantHeld"/>
      <sheetName val="Sched B7 Accum_Prov"/>
      <sheetName val="Sched B8 Mat_Supplies"/>
      <sheetName val="Sched B9 Cash_Capital"/>
      <sheetName val="Sched B10 Prepayments"/>
      <sheetName val="Sched B11 Other_RateBase"/>
      <sheetName val="Sched B12 Regulatory Assets"/>
      <sheetName val="Sched C2 DSC"/>
      <sheetName val="Sched D1 O&amp;M"/>
      <sheetName val="Sched D2 A&amp;G"/>
      <sheetName val="Sched D3 Payroll"/>
      <sheetName val="Sched D5 Exclusions"/>
      <sheetName val="Sched E1 Depreciation"/>
      <sheetName val="Sched E2 Taxes"/>
      <sheetName val="Sched E3 Federal"/>
      <sheetName val="Sched E4 Other"/>
      <sheetName val="Sched E5 OtherRevenue"/>
      <sheetName val="Sched E6 Wheeling Rev"/>
      <sheetName val="Sched F1 Payroll Factors"/>
      <sheetName val="Sched F2 O&amp;M"/>
      <sheetName val="Sched F3 NTP_Factor"/>
      <sheetName val="Sched F4 Factors"/>
      <sheetName val="AI"/>
      <sheetName val="WP-B_WorkingCapital"/>
      <sheetName val="WP-B1_Distrib"/>
      <sheetName val="WP_B1-1_Trans"/>
      <sheetName val="WB_B1-2_SCADA"/>
      <sheetName val="WP-B1-3_ConsolTrans"/>
      <sheetName val="WP-B1-3-1_Dkt35950_Combined"/>
      <sheetName val="WP-B1-3-1-BC_Land"/>
      <sheetName val="WP-B1-3_BC_Dkt35950_AsFiled"/>
      <sheetName val="WP-B1-3_Subs"/>
      <sheetName val="WP-B5_AccumDepr"/>
      <sheetName val="WP_D-1_TotalExpenses"/>
      <sheetName val="WP_D2-1_Acct923_Functionalized"/>
      <sheetName val="WP_D2_Acct923_Detail"/>
      <sheetName val="WP_D2_Acct923_Detail-1"/>
      <sheetName val="WP_D2-2_Acct924_Detail"/>
      <sheetName val="WP_D2-3_Acct929"/>
      <sheetName val="WP-D2-4_Acct930"/>
      <sheetName val="WP-D2-5_Acct921_930_Transfer"/>
      <sheetName val="WP-D5_Exclusions"/>
      <sheetName val="WP-E2_PropertyTaxes"/>
      <sheetName val="WP-F1_ContractorFees"/>
    </sheetNames>
    <sheetDataSet>
      <sheetData sheetId="0">
        <row r="1">
          <cell r="B1" t="str">
            <v>Golden Spread Electric Cooperative, Inc.</v>
          </cell>
        </row>
      </sheetData>
      <sheetData sheetId="1">
        <row r="4">
          <cell r="C4">
            <v>40178</v>
          </cell>
        </row>
        <row r="37">
          <cell r="C37">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6">
          <cell r="D16">
            <v>0.65676221035047389</v>
          </cell>
          <cell r="E16">
            <v>3.1547021136924577E-2</v>
          </cell>
          <cell r="F16">
            <v>8.342781349434035E-2</v>
          </cell>
          <cell r="G16">
            <v>0.22826295501826127</v>
          </cell>
        </row>
      </sheetData>
      <sheetData sheetId="29" refreshError="1"/>
      <sheetData sheetId="30">
        <row r="29">
          <cell r="D29">
            <v>0.13174559988487117</v>
          </cell>
          <cell r="E29">
            <v>6.6565035804882849E-2</v>
          </cell>
          <cell r="G29">
            <v>0.57665487306414831</v>
          </cell>
        </row>
        <row r="35">
          <cell r="D35">
            <v>0.65676221035047377</v>
          </cell>
          <cell r="E35">
            <v>3.1547021136924557E-2</v>
          </cell>
          <cell r="F35">
            <v>8.342781349434035E-2</v>
          </cell>
          <cell r="G35">
            <v>0.22826295501826113</v>
          </cell>
        </row>
        <row r="48">
          <cell r="D48">
            <v>0.13606160052531113</v>
          </cell>
          <cell r="E48">
            <v>6.6277163439092734E-2</v>
          </cell>
          <cell r="F48">
            <v>0.22387038614983196</v>
          </cell>
          <cell r="G48">
            <v>0.57379084988576423</v>
          </cell>
        </row>
      </sheetData>
      <sheetData sheetId="31"/>
      <sheetData sheetId="32" refreshError="1"/>
      <sheetData sheetId="33" refreshError="1"/>
      <sheetData sheetId="34"/>
      <sheetData sheetId="35">
        <row r="1">
          <cell r="A1" t="str">
            <v>WP/B-1/1 — TRANSMISSION ACCOUNTS</v>
          </cell>
        </row>
      </sheetData>
      <sheetData sheetId="36" refreshError="1"/>
      <sheetData sheetId="37" refreshError="1"/>
      <sheetData sheetId="38">
        <row r="1">
          <cell r="A1" t="str">
            <v>WP/B-1/3/1 — AS FILED IN DOCKET 35950</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_model"/>
      <sheetName val="Yearly_Generation"/>
      <sheetName val="Yearly_Cost"/>
      <sheetName val="MEC_annual"/>
      <sheetName val="MEC_monthly"/>
      <sheetName val="SSV_annual"/>
      <sheetName val="SSV_monthly"/>
      <sheetName val="Trico_annual"/>
      <sheetName val="Trico_monthly"/>
      <sheetName val="CARM_annual "/>
      <sheetName val="CARM_monthly"/>
      <sheetName val="MarketInfo"/>
    </sheetNames>
    <sheetDataSet>
      <sheetData sheetId="0">
        <row r="7">
          <cell r="E7">
            <v>42370</v>
          </cell>
        </row>
      </sheetData>
      <sheetData sheetId="1"/>
      <sheetData sheetId="2"/>
      <sheetData sheetId="3"/>
      <sheetData sheetId="4">
        <row r="3">
          <cell r="D3">
            <v>2016</v>
          </cell>
          <cell r="E3">
            <v>2016</v>
          </cell>
          <cell r="F3">
            <v>2016</v>
          </cell>
          <cell r="G3">
            <v>2016</v>
          </cell>
          <cell r="H3">
            <v>2016</v>
          </cell>
          <cell r="I3">
            <v>2016</v>
          </cell>
          <cell r="J3">
            <v>2016</v>
          </cell>
          <cell r="K3">
            <v>2016</v>
          </cell>
          <cell r="L3">
            <v>2016</v>
          </cell>
          <cell r="M3">
            <v>2016</v>
          </cell>
          <cell r="N3">
            <v>2016</v>
          </cell>
          <cell r="O3">
            <v>2016</v>
          </cell>
          <cell r="P3">
            <v>2017</v>
          </cell>
          <cell r="Q3">
            <v>2017</v>
          </cell>
          <cell r="R3">
            <v>2017</v>
          </cell>
          <cell r="S3">
            <v>2017</v>
          </cell>
          <cell r="T3">
            <v>2017</v>
          </cell>
          <cell r="U3">
            <v>2017</v>
          </cell>
          <cell r="V3">
            <v>2017</v>
          </cell>
          <cell r="W3">
            <v>2017</v>
          </cell>
          <cell r="X3">
            <v>2017</v>
          </cell>
          <cell r="Y3">
            <v>2017</v>
          </cell>
          <cell r="Z3">
            <v>2017</v>
          </cell>
          <cell r="AA3">
            <v>2017</v>
          </cell>
          <cell r="AB3">
            <v>2018</v>
          </cell>
          <cell r="AC3">
            <v>2018</v>
          </cell>
          <cell r="AD3">
            <v>2018</v>
          </cell>
          <cell r="AE3">
            <v>2018</v>
          </cell>
          <cell r="AF3">
            <v>2018</v>
          </cell>
          <cell r="AG3">
            <v>2018</v>
          </cell>
          <cell r="AH3">
            <v>2018</v>
          </cell>
          <cell r="AI3">
            <v>2018</v>
          </cell>
          <cell r="AJ3">
            <v>2018</v>
          </cell>
          <cell r="AK3">
            <v>2018</v>
          </cell>
          <cell r="AL3">
            <v>2018</v>
          </cell>
          <cell r="AM3">
            <v>2018</v>
          </cell>
          <cell r="AN3">
            <v>2019</v>
          </cell>
          <cell r="AO3">
            <v>2019</v>
          </cell>
          <cell r="AP3">
            <v>2019</v>
          </cell>
          <cell r="AQ3">
            <v>2019</v>
          </cell>
          <cell r="AR3">
            <v>2019</v>
          </cell>
          <cell r="AS3">
            <v>2019</v>
          </cell>
          <cell r="AT3">
            <v>2019</v>
          </cell>
          <cell r="AU3">
            <v>2019</v>
          </cell>
          <cell r="AV3">
            <v>2019</v>
          </cell>
          <cell r="AW3">
            <v>2019</v>
          </cell>
          <cell r="AX3">
            <v>2019</v>
          </cell>
          <cell r="AY3">
            <v>2019</v>
          </cell>
          <cell r="AZ3">
            <v>2020</v>
          </cell>
          <cell r="BA3">
            <v>2020</v>
          </cell>
          <cell r="BB3">
            <v>2020</v>
          </cell>
          <cell r="BC3">
            <v>2020</v>
          </cell>
          <cell r="BD3">
            <v>2020</v>
          </cell>
          <cell r="BE3">
            <v>2020</v>
          </cell>
          <cell r="BF3">
            <v>2020</v>
          </cell>
          <cell r="BG3">
            <v>2020</v>
          </cell>
          <cell r="BH3">
            <v>2020</v>
          </cell>
          <cell r="BI3">
            <v>2020</v>
          </cell>
          <cell r="BJ3">
            <v>2020</v>
          </cell>
          <cell r="BK3">
            <v>2020</v>
          </cell>
          <cell r="BL3">
            <v>2021</v>
          </cell>
          <cell r="BM3">
            <v>2021</v>
          </cell>
          <cell r="BN3">
            <v>2021</v>
          </cell>
          <cell r="BO3">
            <v>2021</v>
          </cell>
          <cell r="BP3">
            <v>2021</v>
          </cell>
          <cell r="BQ3">
            <v>2021</v>
          </cell>
          <cell r="BR3">
            <v>2021</v>
          </cell>
          <cell r="BS3">
            <v>2021</v>
          </cell>
          <cell r="BT3">
            <v>2021</v>
          </cell>
          <cell r="BU3">
            <v>2021</v>
          </cell>
          <cell r="BV3">
            <v>2021</v>
          </cell>
          <cell r="BW3">
            <v>2021</v>
          </cell>
          <cell r="BX3">
            <v>2022</v>
          </cell>
          <cell r="BY3">
            <v>2022</v>
          </cell>
          <cell r="BZ3">
            <v>2022</v>
          </cell>
          <cell r="CA3">
            <v>2022</v>
          </cell>
          <cell r="CB3">
            <v>2022</v>
          </cell>
          <cell r="CC3">
            <v>2022</v>
          </cell>
          <cell r="CD3">
            <v>2022</v>
          </cell>
          <cell r="CE3">
            <v>2022</v>
          </cell>
          <cell r="CF3">
            <v>2022</v>
          </cell>
          <cell r="CG3">
            <v>2022</v>
          </cell>
          <cell r="CH3">
            <v>2022</v>
          </cell>
          <cell r="CI3">
            <v>2022</v>
          </cell>
          <cell r="CJ3">
            <v>2023</v>
          </cell>
          <cell r="CK3">
            <v>2023</v>
          </cell>
          <cell r="CL3">
            <v>2023</v>
          </cell>
          <cell r="CM3">
            <v>2023</v>
          </cell>
          <cell r="CN3">
            <v>2023</v>
          </cell>
          <cell r="CO3">
            <v>2023</v>
          </cell>
          <cell r="CP3">
            <v>2023</v>
          </cell>
          <cell r="CQ3">
            <v>2023</v>
          </cell>
          <cell r="CR3">
            <v>2023</v>
          </cell>
          <cell r="CS3">
            <v>2023</v>
          </cell>
          <cell r="CT3">
            <v>2023</v>
          </cell>
          <cell r="CU3">
            <v>2023</v>
          </cell>
          <cell r="CV3">
            <v>2024</v>
          </cell>
          <cell r="CW3">
            <v>2024</v>
          </cell>
          <cell r="CX3">
            <v>2024</v>
          </cell>
          <cell r="CY3">
            <v>2024</v>
          </cell>
          <cell r="CZ3">
            <v>2024</v>
          </cell>
          <cell r="DA3">
            <v>2024</v>
          </cell>
          <cell r="DB3">
            <v>2024</v>
          </cell>
          <cell r="DC3">
            <v>2024</v>
          </cell>
          <cell r="DD3">
            <v>2024</v>
          </cell>
          <cell r="DE3">
            <v>2024</v>
          </cell>
          <cell r="DF3">
            <v>2024</v>
          </cell>
          <cell r="DG3">
            <v>2024</v>
          </cell>
          <cell r="DH3">
            <v>2025</v>
          </cell>
          <cell r="DI3">
            <v>2025</v>
          </cell>
          <cell r="DJ3">
            <v>2025</v>
          </cell>
          <cell r="DK3">
            <v>2025</v>
          </cell>
          <cell r="DL3">
            <v>2025</v>
          </cell>
          <cell r="DM3">
            <v>2025</v>
          </cell>
          <cell r="DN3">
            <v>2025</v>
          </cell>
          <cell r="DO3">
            <v>2025</v>
          </cell>
          <cell r="DP3">
            <v>2025</v>
          </cell>
          <cell r="DQ3">
            <v>2025</v>
          </cell>
          <cell r="DR3">
            <v>2025</v>
          </cell>
          <cell r="DS3">
            <v>2025</v>
          </cell>
          <cell r="DT3">
            <v>2026</v>
          </cell>
          <cell r="DU3">
            <v>2026</v>
          </cell>
          <cell r="DV3">
            <v>2026</v>
          </cell>
          <cell r="DW3">
            <v>2026</v>
          </cell>
          <cell r="DX3">
            <v>2026</v>
          </cell>
          <cell r="DY3">
            <v>2026</v>
          </cell>
          <cell r="DZ3">
            <v>2026</v>
          </cell>
          <cell r="EA3">
            <v>2026</v>
          </cell>
          <cell r="EB3">
            <v>2026</v>
          </cell>
          <cell r="EC3">
            <v>2026</v>
          </cell>
          <cell r="ED3">
            <v>2026</v>
          </cell>
          <cell r="EE3">
            <v>2026</v>
          </cell>
          <cell r="EF3">
            <v>2027</v>
          </cell>
          <cell r="EG3">
            <v>2027</v>
          </cell>
          <cell r="EH3">
            <v>2027</v>
          </cell>
          <cell r="EI3">
            <v>2027</v>
          </cell>
          <cell r="EJ3">
            <v>2027</v>
          </cell>
          <cell r="EK3">
            <v>2027</v>
          </cell>
          <cell r="EL3">
            <v>2027</v>
          </cell>
          <cell r="EM3">
            <v>2027</v>
          </cell>
          <cell r="EN3">
            <v>2027</v>
          </cell>
          <cell r="EO3">
            <v>2027</v>
          </cell>
          <cell r="EP3">
            <v>2027</v>
          </cell>
          <cell r="EQ3">
            <v>2027</v>
          </cell>
          <cell r="ER3">
            <v>2028</v>
          </cell>
          <cell r="ES3">
            <v>2028</v>
          </cell>
          <cell r="ET3">
            <v>2028</v>
          </cell>
          <cell r="EU3">
            <v>2028</v>
          </cell>
          <cell r="EV3">
            <v>2028</v>
          </cell>
          <cell r="EW3">
            <v>2028</v>
          </cell>
          <cell r="EX3">
            <v>2028</v>
          </cell>
          <cell r="EY3">
            <v>2028</v>
          </cell>
          <cell r="EZ3">
            <v>2028</v>
          </cell>
          <cell r="FA3">
            <v>2028</v>
          </cell>
          <cell r="FB3">
            <v>2028</v>
          </cell>
          <cell r="FC3">
            <v>2028</v>
          </cell>
          <cell r="FD3">
            <v>2029</v>
          </cell>
          <cell r="FE3">
            <v>2029</v>
          </cell>
          <cell r="FF3">
            <v>2029</v>
          </cell>
          <cell r="FG3">
            <v>2029</v>
          </cell>
          <cell r="FH3">
            <v>2029</v>
          </cell>
          <cell r="FI3">
            <v>2029</v>
          </cell>
          <cell r="FJ3">
            <v>2029</v>
          </cell>
          <cell r="FK3">
            <v>2029</v>
          </cell>
          <cell r="FL3">
            <v>2029</v>
          </cell>
          <cell r="FM3">
            <v>2029</v>
          </cell>
          <cell r="FN3">
            <v>2029</v>
          </cell>
          <cell r="FO3">
            <v>2029</v>
          </cell>
          <cell r="FP3">
            <v>2030</v>
          </cell>
          <cell r="FQ3">
            <v>2030</v>
          </cell>
          <cell r="FR3">
            <v>2030</v>
          </cell>
          <cell r="FS3">
            <v>2030</v>
          </cell>
          <cell r="FT3">
            <v>2030</v>
          </cell>
          <cell r="FU3">
            <v>2030</v>
          </cell>
          <cell r="FV3">
            <v>2030</v>
          </cell>
          <cell r="FW3">
            <v>2030</v>
          </cell>
          <cell r="FX3">
            <v>2030</v>
          </cell>
          <cell r="FY3">
            <v>2030</v>
          </cell>
          <cell r="FZ3">
            <v>2030</v>
          </cell>
          <cell r="GA3">
            <v>2030</v>
          </cell>
          <cell r="GB3">
            <v>2031</v>
          </cell>
          <cell r="GC3">
            <v>2031</v>
          </cell>
          <cell r="GD3">
            <v>2031</v>
          </cell>
          <cell r="GE3">
            <v>2031</v>
          </cell>
          <cell r="GF3">
            <v>2031</v>
          </cell>
          <cell r="GG3">
            <v>2031</v>
          </cell>
          <cell r="GH3">
            <v>2031</v>
          </cell>
          <cell r="GI3">
            <v>2031</v>
          </cell>
          <cell r="GJ3">
            <v>2031</v>
          </cell>
          <cell r="GK3">
            <v>2031</v>
          </cell>
          <cell r="GL3">
            <v>2031</v>
          </cell>
          <cell r="GM3">
            <v>2031</v>
          </cell>
          <cell r="GN3">
            <v>2032</v>
          </cell>
          <cell r="GO3">
            <v>2032</v>
          </cell>
          <cell r="GP3">
            <v>2032</v>
          </cell>
          <cell r="GQ3">
            <v>2032</v>
          </cell>
          <cell r="GR3">
            <v>2032</v>
          </cell>
          <cell r="GS3">
            <v>2032</v>
          </cell>
          <cell r="GT3">
            <v>2032</v>
          </cell>
          <cell r="GU3">
            <v>2032</v>
          </cell>
          <cell r="GV3">
            <v>2032</v>
          </cell>
          <cell r="GW3">
            <v>2032</v>
          </cell>
          <cell r="GX3">
            <v>2032</v>
          </cell>
          <cell r="GY3">
            <v>2032</v>
          </cell>
          <cell r="GZ3">
            <v>2033</v>
          </cell>
          <cell r="HA3">
            <v>2033</v>
          </cell>
          <cell r="HB3">
            <v>2033</v>
          </cell>
          <cell r="HC3">
            <v>2033</v>
          </cell>
          <cell r="HD3">
            <v>2033</v>
          </cell>
          <cell r="HE3">
            <v>2033</v>
          </cell>
          <cell r="HF3">
            <v>2033</v>
          </cell>
          <cell r="HG3">
            <v>2033</v>
          </cell>
          <cell r="HH3">
            <v>2033</v>
          </cell>
          <cell r="HI3">
            <v>2033</v>
          </cell>
          <cell r="HJ3">
            <v>2033</v>
          </cell>
          <cell r="HK3">
            <v>2033</v>
          </cell>
          <cell r="HL3">
            <v>2034</v>
          </cell>
          <cell r="HM3">
            <v>2034</v>
          </cell>
          <cell r="HN3">
            <v>2034</v>
          </cell>
          <cell r="HO3">
            <v>2034</v>
          </cell>
          <cell r="HP3">
            <v>2034</v>
          </cell>
          <cell r="HQ3">
            <v>2034</v>
          </cell>
          <cell r="HR3">
            <v>2034</v>
          </cell>
          <cell r="HS3">
            <v>2034</v>
          </cell>
          <cell r="HT3">
            <v>2034</v>
          </cell>
          <cell r="HU3">
            <v>2034</v>
          </cell>
          <cell r="HV3">
            <v>2034</v>
          </cell>
          <cell r="HW3">
            <v>2034</v>
          </cell>
          <cell r="HX3">
            <v>2035</v>
          </cell>
          <cell r="HY3">
            <v>2035</v>
          </cell>
          <cell r="HZ3">
            <v>2035</v>
          </cell>
          <cell r="IA3">
            <v>2035</v>
          </cell>
          <cell r="IB3">
            <v>2035</v>
          </cell>
          <cell r="IC3">
            <v>2035</v>
          </cell>
          <cell r="ID3">
            <v>2035</v>
          </cell>
          <cell r="IE3">
            <v>2035</v>
          </cell>
          <cell r="IF3">
            <v>2035</v>
          </cell>
          <cell r="IG3">
            <v>2035</v>
          </cell>
          <cell r="IH3">
            <v>2035</v>
          </cell>
          <cell r="II3">
            <v>2035</v>
          </cell>
          <cell r="IJ3">
            <v>2036</v>
          </cell>
          <cell r="IK3">
            <v>2036</v>
          </cell>
          <cell r="IL3">
            <v>2036</v>
          </cell>
          <cell r="IM3">
            <v>2036</v>
          </cell>
          <cell r="IN3">
            <v>2036</v>
          </cell>
          <cell r="IO3">
            <v>2036</v>
          </cell>
          <cell r="IP3">
            <v>2036</v>
          </cell>
          <cell r="IQ3">
            <v>2036</v>
          </cell>
          <cell r="IR3">
            <v>2036</v>
          </cell>
          <cell r="IS3">
            <v>2036</v>
          </cell>
          <cell r="IT3">
            <v>2036</v>
          </cell>
          <cell r="IU3">
            <v>2036</v>
          </cell>
          <cell r="IV3">
            <v>2037</v>
          </cell>
          <cell r="IW3">
            <v>2037</v>
          </cell>
          <cell r="IX3">
            <v>2037</v>
          </cell>
          <cell r="IY3">
            <v>2037</v>
          </cell>
          <cell r="IZ3">
            <v>2037</v>
          </cell>
          <cell r="JA3">
            <v>2037</v>
          </cell>
          <cell r="JB3">
            <v>2037</v>
          </cell>
          <cell r="JC3">
            <v>2037</v>
          </cell>
          <cell r="JD3">
            <v>2037</v>
          </cell>
          <cell r="JE3">
            <v>2037</v>
          </cell>
          <cell r="JF3">
            <v>2037</v>
          </cell>
          <cell r="JG3">
            <v>2037</v>
          </cell>
          <cell r="JH3">
            <v>2038</v>
          </cell>
          <cell r="JI3">
            <v>2038</v>
          </cell>
          <cell r="JJ3">
            <v>2038</v>
          </cell>
          <cell r="JK3">
            <v>2038</v>
          </cell>
          <cell r="JL3">
            <v>2038</v>
          </cell>
          <cell r="JM3">
            <v>2038</v>
          </cell>
          <cell r="JN3">
            <v>2038</v>
          </cell>
          <cell r="JO3">
            <v>2038</v>
          </cell>
          <cell r="JP3">
            <v>2038</v>
          </cell>
          <cell r="JQ3">
            <v>2038</v>
          </cell>
          <cell r="JR3">
            <v>2038</v>
          </cell>
          <cell r="JS3">
            <v>2038</v>
          </cell>
          <cell r="JT3">
            <v>2039</v>
          </cell>
          <cell r="JU3">
            <v>2039</v>
          </cell>
          <cell r="JV3">
            <v>2039</v>
          </cell>
          <cell r="JW3">
            <v>2039</v>
          </cell>
          <cell r="JX3">
            <v>2039</v>
          </cell>
          <cell r="JY3">
            <v>2039</v>
          </cell>
          <cell r="JZ3">
            <v>2039</v>
          </cell>
          <cell r="KA3">
            <v>2039</v>
          </cell>
          <cell r="KB3">
            <v>2039</v>
          </cell>
          <cell r="KC3">
            <v>2039</v>
          </cell>
          <cell r="KD3">
            <v>2039</v>
          </cell>
          <cell r="KE3">
            <v>2039</v>
          </cell>
          <cell r="KF3">
            <v>2040</v>
          </cell>
          <cell r="KG3">
            <v>2040</v>
          </cell>
          <cell r="KH3">
            <v>2040</v>
          </cell>
          <cell r="KI3">
            <v>2040</v>
          </cell>
          <cell r="KJ3">
            <v>2040</v>
          </cell>
          <cell r="KK3">
            <v>2040</v>
          </cell>
          <cell r="KL3">
            <v>2040</v>
          </cell>
          <cell r="KM3">
            <v>2040</v>
          </cell>
          <cell r="KN3">
            <v>2040</v>
          </cell>
          <cell r="KO3">
            <v>2040</v>
          </cell>
          <cell r="KP3">
            <v>2040</v>
          </cell>
          <cell r="KQ3">
            <v>2040</v>
          </cell>
          <cell r="KR3">
            <v>2041</v>
          </cell>
          <cell r="KS3">
            <v>2041</v>
          </cell>
          <cell r="KT3">
            <v>2041</v>
          </cell>
          <cell r="KU3">
            <v>2041</v>
          </cell>
          <cell r="KV3">
            <v>2041</v>
          </cell>
          <cell r="KW3">
            <v>2041</v>
          </cell>
          <cell r="KX3">
            <v>2041</v>
          </cell>
          <cell r="KY3">
            <v>2041</v>
          </cell>
          <cell r="KZ3">
            <v>2041</v>
          </cell>
          <cell r="LA3">
            <v>2041</v>
          </cell>
          <cell r="LB3">
            <v>2041</v>
          </cell>
          <cell r="LC3">
            <v>2041</v>
          </cell>
          <cell r="LD3">
            <v>2042</v>
          </cell>
          <cell r="LE3">
            <v>2042</v>
          </cell>
          <cell r="LF3">
            <v>2042</v>
          </cell>
          <cell r="LG3">
            <v>2042</v>
          </cell>
          <cell r="LH3">
            <v>2042</v>
          </cell>
          <cell r="LI3">
            <v>2042</v>
          </cell>
          <cell r="LJ3">
            <v>2042</v>
          </cell>
          <cell r="LK3">
            <v>2042</v>
          </cell>
          <cell r="LL3">
            <v>2042</v>
          </cell>
          <cell r="LM3">
            <v>2042</v>
          </cell>
          <cell r="LN3">
            <v>2042</v>
          </cell>
          <cell r="LO3">
            <v>2042</v>
          </cell>
          <cell r="LP3">
            <v>2043</v>
          </cell>
          <cell r="LQ3">
            <v>2043</v>
          </cell>
          <cell r="LR3">
            <v>2043</v>
          </cell>
          <cell r="LS3">
            <v>2043</v>
          </cell>
          <cell r="LT3">
            <v>2043</v>
          </cell>
          <cell r="LU3">
            <v>2043</v>
          </cell>
          <cell r="LV3">
            <v>2043</v>
          </cell>
          <cell r="LW3">
            <v>2043</v>
          </cell>
          <cell r="LX3">
            <v>2043</v>
          </cell>
          <cell r="LY3">
            <v>2043</v>
          </cell>
          <cell r="LZ3">
            <v>2043</v>
          </cell>
          <cell r="MA3">
            <v>2043</v>
          </cell>
          <cell r="MB3">
            <v>2044</v>
          </cell>
          <cell r="MC3">
            <v>2044</v>
          </cell>
          <cell r="MD3">
            <v>2044</v>
          </cell>
          <cell r="ME3">
            <v>2044</v>
          </cell>
          <cell r="MF3">
            <v>2044</v>
          </cell>
          <cell r="MG3">
            <v>2044</v>
          </cell>
          <cell r="MH3">
            <v>2044</v>
          </cell>
          <cell r="MI3">
            <v>2044</v>
          </cell>
          <cell r="MJ3">
            <v>2044</v>
          </cell>
          <cell r="MK3">
            <v>2044</v>
          </cell>
          <cell r="ML3">
            <v>2044</v>
          </cell>
          <cell r="MM3">
            <v>2044</v>
          </cell>
          <cell r="MN3">
            <v>2045</v>
          </cell>
          <cell r="MO3">
            <v>2045</v>
          </cell>
          <cell r="MP3">
            <v>2045</v>
          </cell>
          <cell r="MQ3">
            <v>2045</v>
          </cell>
          <cell r="MR3">
            <v>2045</v>
          </cell>
          <cell r="MS3">
            <v>2045</v>
          </cell>
          <cell r="MT3">
            <v>2045</v>
          </cell>
          <cell r="MU3">
            <v>2045</v>
          </cell>
          <cell r="MV3">
            <v>2045</v>
          </cell>
          <cell r="MW3">
            <v>2045</v>
          </cell>
          <cell r="MX3">
            <v>2045</v>
          </cell>
          <cell r="MY3">
            <v>2045</v>
          </cell>
        </row>
      </sheetData>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B19"/>
  <sheetViews>
    <sheetView tabSelected="1" zoomScaleNormal="100" workbookViewId="0">
      <selection activeCell="B20" sqref="B20"/>
    </sheetView>
  </sheetViews>
  <sheetFormatPr defaultRowHeight="14.25" x14ac:dyDescent="0.45"/>
  <cols>
    <col min="1" max="1" width="3" customWidth="1"/>
    <col min="2" max="2" width="27.86328125" customWidth="1"/>
  </cols>
  <sheetData>
    <row r="6" spans="2:2" ht="36" x14ac:dyDescent="1.05">
      <c r="B6" s="5" t="s">
        <v>135</v>
      </c>
    </row>
    <row r="11" spans="2:2" ht="23.25" x14ac:dyDescent="0.7">
      <c r="B11" s="4"/>
    </row>
    <row r="12" spans="2:2" ht="23.25" x14ac:dyDescent="0.7">
      <c r="B12" s="4"/>
    </row>
    <row r="13" spans="2:2" ht="23.25" x14ac:dyDescent="0.7">
      <c r="B13" s="4" t="s">
        <v>857</v>
      </c>
    </row>
    <row r="19" spans="2:2" ht="18" x14ac:dyDescent="0.55000000000000004">
      <c r="B19" s="6">
        <v>43615</v>
      </c>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3"/>
  <sheetViews>
    <sheetView zoomScaleNormal="100" workbookViewId="0"/>
  </sheetViews>
  <sheetFormatPr defaultColWidth="9.1328125" defaultRowHeight="14.25" x14ac:dyDescent="0.45"/>
  <cols>
    <col min="1" max="1" width="4.3984375" style="21" customWidth="1"/>
    <col min="2" max="3" width="15.73046875" style="21" customWidth="1"/>
    <col min="4" max="4" width="18.1328125" style="21" bestFit="1" customWidth="1"/>
    <col min="5" max="5" width="9.1328125" style="21" customWidth="1"/>
    <col min="6" max="16384" width="9.1328125" style="21"/>
  </cols>
  <sheetData>
    <row r="1" spans="1:5" x14ac:dyDescent="0.45">
      <c r="B1" s="139" t="s">
        <v>27</v>
      </c>
      <c r="C1" s="139"/>
      <c r="D1" s="139" t="s">
        <v>838</v>
      </c>
      <c r="E1" s="139"/>
    </row>
    <row r="2" spans="1:5" x14ac:dyDescent="0.45">
      <c r="B2" s="139" t="s">
        <v>839</v>
      </c>
      <c r="C2" s="139"/>
      <c r="D2" s="139" t="s">
        <v>838</v>
      </c>
      <c r="E2" s="139"/>
    </row>
    <row r="4" spans="1:5" x14ac:dyDescent="0.45">
      <c r="B4" s="14" t="s">
        <v>840</v>
      </c>
      <c r="C4" s="140"/>
      <c r="D4" s="140"/>
      <c r="E4" s="140"/>
    </row>
    <row r="5" spans="1:5" x14ac:dyDescent="0.45">
      <c r="B5" s="14"/>
      <c r="C5" s="140"/>
      <c r="D5" s="140"/>
      <c r="E5" s="140"/>
    </row>
    <row r="6" spans="1:5" x14ac:dyDescent="0.45">
      <c r="B6" s="141" t="s">
        <v>841</v>
      </c>
      <c r="C6" s="142" t="s">
        <v>158</v>
      </c>
      <c r="D6" s="138"/>
      <c r="E6" s="34" t="s">
        <v>826</v>
      </c>
    </row>
    <row r="7" spans="1:5" x14ac:dyDescent="0.45">
      <c r="A7" s="21">
        <v>1</v>
      </c>
      <c r="B7" s="143">
        <v>350</v>
      </c>
      <c r="C7" s="144">
        <v>2.75</v>
      </c>
      <c r="D7" s="145"/>
      <c r="E7" s="140"/>
    </row>
    <row r="8" spans="1:5" x14ac:dyDescent="0.45">
      <c r="A8" s="21">
        <f>+A7+1</f>
        <v>2</v>
      </c>
      <c r="B8" s="143">
        <v>353</v>
      </c>
      <c r="C8" s="144">
        <v>2.75</v>
      </c>
      <c r="D8" s="145"/>
      <c r="E8" s="140"/>
    </row>
    <row r="9" spans="1:5" x14ac:dyDescent="0.45">
      <c r="A9" s="21">
        <f t="shared" ref="A9:A16" si="0">+A8+1</f>
        <v>3</v>
      </c>
      <c r="B9" s="143">
        <v>355</v>
      </c>
      <c r="C9" s="144">
        <v>2.75</v>
      </c>
      <c r="D9" s="145"/>
      <c r="E9" s="146"/>
    </row>
    <row r="10" spans="1:5" x14ac:dyDescent="0.45">
      <c r="A10" s="21">
        <f t="shared" si="0"/>
        <v>4</v>
      </c>
      <c r="B10" s="143">
        <v>356</v>
      </c>
      <c r="C10" s="144">
        <v>2.75</v>
      </c>
      <c r="D10" s="145"/>
      <c r="E10" s="140"/>
    </row>
    <row r="11" spans="1:5" x14ac:dyDescent="0.45">
      <c r="A11" s="21">
        <f t="shared" si="0"/>
        <v>5</v>
      </c>
      <c r="B11" s="143">
        <v>390</v>
      </c>
      <c r="C11" s="144">
        <v>6.67</v>
      </c>
      <c r="D11" s="145"/>
      <c r="E11" s="140"/>
    </row>
    <row r="12" spans="1:5" x14ac:dyDescent="0.45">
      <c r="A12" s="21">
        <f t="shared" si="0"/>
        <v>6</v>
      </c>
      <c r="B12" s="143">
        <v>391</v>
      </c>
      <c r="C12" s="144">
        <v>20</v>
      </c>
      <c r="D12" s="145"/>
      <c r="E12" s="146"/>
    </row>
    <row r="13" spans="1:5" x14ac:dyDescent="0.45">
      <c r="A13" s="21">
        <f t="shared" si="0"/>
        <v>7</v>
      </c>
      <c r="B13" s="143">
        <v>392</v>
      </c>
      <c r="C13" s="144">
        <v>20</v>
      </c>
      <c r="D13" s="145"/>
      <c r="E13" s="140"/>
    </row>
    <row r="14" spans="1:5" x14ac:dyDescent="0.45">
      <c r="A14" s="21">
        <f t="shared" si="0"/>
        <v>8</v>
      </c>
      <c r="B14" s="143">
        <v>397</v>
      </c>
      <c r="C14" s="144">
        <v>20</v>
      </c>
      <c r="D14" s="145"/>
      <c r="E14" s="140"/>
    </row>
    <row r="15" spans="1:5" x14ac:dyDescent="0.45">
      <c r="A15" s="21">
        <f t="shared" si="0"/>
        <v>9</v>
      </c>
      <c r="B15" s="143">
        <v>399</v>
      </c>
      <c r="C15" s="144">
        <v>10</v>
      </c>
      <c r="D15" s="145"/>
      <c r="E15" s="146"/>
    </row>
    <row r="16" spans="1:5" x14ac:dyDescent="0.45">
      <c r="A16" s="21">
        <f t="shared" si="0"/>
        <v>10</v>
      </c>
      <c r="B16" s="143">
        <v>101</v>
      </c>
      <c r="C16" s="144">
        <v>6.67</v>
      </c>
      <c r="D16" s="145"/>
      <c r="E16" s="140"/>
    </row>
    <row r="17" spans="2:5" x14ac:dyDescent="0.45">
      <c r="B17" s="140"/>
      <c r="C17" s="145"/>
      <c r="D17" s="145"/>
      <c r="E17" s="140"/>
    </row>
    <row r="18" spans="2:5" x14ac:dyDescent="0.45">
      <c r="B18" s="140"/>
      <c r="C18" s="145"/>
      <c r="D18" s="145"/>
      <c r="E18" s="140"/>
    </row>
    <row r="19" spans="2:5" x14ac:dyDescent="0.45">
      <c r="B19" s="140"/>
      <c r="C19" s="145"/>
      <c r="D19" s="145"/>
      <c r="E19" s="140"/>
    </row>
    <row r="20" spans="2:5" x14ac:dyDescent="0.45">
      <c r="B20" s="140"/>
      <c r="C20" s="145"/>
      <c r="D20" s="145"/>
      <c r="E20" s="140"/>
    </row>
    <row r="21" spans="2:5" x14ac:dyDescent="0.45">
      <c r="B21" s="140"/>
      <c r="C21" s="145"/>
      <c r="D21" s="145"/>
      <c r="E21" s="140"/>
    </row>
    <row r="22" spans="2:5" x14ac:dyDescent="0.45">
      <c r="B22" s="140"/>
      <c r="C22" s="145"/>
      <c r="D22" s="145"/>
      <c r="E22" s="140"/>
    </row>
    <row r="23" spans="2:5" x14ac:dyDescent="0.45">
      <c r="B23" s="140"/>
      <c r="C23" s="140"/>
      <c r="D23" s="140"/>
      <c r="E23" s="146"/>
    </row>
  </sheetData>
  <printOptions horizontalCentered="1"/>
  <pageMargins left="0.5" right="0.5" top="1" bottom="1" header="0.5" footer="0.5"/>
  <pageSetup orientation="landscape" r:id="rId1"/>
  <headerFooter>
    <oddHeader>&amp;RSchedule I-1.0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68"/>
  <sheetViews>
    <sheetView topLeftCell="A7" zoomScaleNormal="100" workbookViewId="0">
      <selection activeCell="B11" sqref="B11"/>
    </sheetView>
  </sheetViews>
  <sheetFormatPr defaultColWidth="9.1328125" defaultRowHeight="14.25" x14ac:dyDescent="0.45"/>
  <cols>
    <col min="1" max="1" width="5.86328125" style="21" customWidth="1"/>
    <col min="2" max="2" width="22.73046875" style="21" customWidth="1"/>
    <col min="3" max="3" width="5.73046875" style="21" customWidth="1"/>
    <col min="4" max="4" width="7.86328125" style="21" bestFit="1" customWidth="1"/>
    <col min="5" max="5" width="8.1328125" style="21" bestFit="1" customWidth="1"/>
    <col min="6" max="18" width="13.265625" style="21" customWidth="1"/>
    <col min="19" max="19" width="9.1328125" style="21"/>
    <col min="20" max="20" width="11.265625" style="21" bestFit="1" customWidth="1"/>
    <col min="21" max="21" width="9.1328125" style="21"/>
    <col min="22" max="22" width="10.265625" style="21" bestFit="1" customWidth="1"/>
    <col min="23" max="16384" width="9.1328125" style="21"/>
  </cols>
  <sheetData>
    <row r="1" spans="1:22" x14ac:dyDescent="0.45">
      <c r="B1" s="170" t="s">
        <v>27</v>
      </c>
      <c r="C1" s="170"/>
      <c r="D1" s="170"/>
      <c r="E1" s="170"/>
      <c r="F1" s="170"/>
      <c r="G1" s="170"/>
      <c r="H1" s="170"/>
      <c r="I1" s="170"/>
      <c r="J1" s="170"/>
      <c r="K1" s="170"/>
      <c r="L1" s="170"/>
      <c r="M1" s="170"/>
      <c r="N1" s="170"/>
      <c r="O1" s="170"/>
      <c r="P1" s="170"/>
      <c r="Q1" s="170"/>
      <c r="R1" s="170"/>
    </row>
    <row r="2" spans="1:22" x14ac:dyDescent="0.45">
      <c r="B2" s="170" t="s">
        <v>859</v>
      </c>
      <c r="C2" s="170"/>
      <c r="D2" s="170"/>
      <c r="E2" s="170"/>
      <c r="F2" s="170"/>
      <c r="G2" s="170"/>
      <c r="H2" s="170"/>
      <c r="I2" s="170"/>
      <c r="J2" s="170"/>
      <c r="K2" s="170"/>
      <c r="L2" s="170"/>
      <c r="M2" s="170"/>
      <c r="N2" s="170"/>
      <c r="O2" s="170"/>
      <c r="P2" s="170"/>
      <c r="Q2" s="170"/>
      <c r="R2" s="170"/>
    </row>
    <row r="4" spans="1:22" x14ac:dyDescent="0.45">
      <c r="B4" s="14" t="s">
        <v>241</v>
      </c>
    </row>
    <row r="5" spans="1:22" x14ac:dyDescent="0.45">
      <c r="D5" s="153" t="s">
        <v>240</v>
      </c>
      <c r="E5" s="153" t="s">
        <v>128</v>
      </c>
    </row>
    <row r="6" spans="1:22" x14ac:dyDescent="0.45">
      <c r="D6" s="153" t="s">
        <v>110</v>
      </c>
      <c r="E6" s="153" t="s">
        <v>33</v>
      </c>
      <c r="F6" s="153" t="s">
        <v>4</v>
      </c>
      <c r="G6" s="153" t="s">
        <v>5</v>
      </c>
      <c r="H6" s="153" t="s">
        <v>6</v>
      </c>
      <c r="I6" s="153" t="s">
        <v>7</v>
      </c>
      <c r="J6" s="153" t="s">
        <v>8</v>
      </c>
      <c r="K6" s="153" t="s">
        <v>9</v>
      </c>
      <c r="L6" s="153" t="s">
        <v>10</v>
      </c>
      <c r="M6" s="153" t="s">
        <v>11</v>
      </c>
      <c r="N6" s="153" t="s">
        <v>12</v>
      </c>
      <c r="O6" s="153" t="s">
        <v>13</v>
      </c>
      <c r="P6" s="153" t="s">
        <v>14</v>
      </c>
      <c r="Q6" s="153" t="s">
        <v>15</v>
      </c>
      <c r="R6" s="153" t="s">
        <v>0</v>
      </c>
      <c r="T6" s="34"/>
    </row>
    <row r="7" spans="1:22" x14ac:dyDescent="0.45">
      <c r="D7" s="154" t="s">
        <v>97</v>
      </c>
      <c r="E7" s="154" t="s">
        <v>97</v>
      </c>
      <c r="F7" s="154" t="s">
        <v>109</v>
      </c>
      <c r="G7" s="154" t="s">
        <v>109</v>
      </c>
      <c r="H7" s="154" t="s">
        <v>109</v>
      </c>
      <c r="I7" s="154" t="s">
        <v>109</v>
      </c>
      <c r="J7" s="154" t="s">
        <v>109</v>
      </c>
      <c r="K7" s="154" t="s">
        <v>109</v>
      </c>
      <c r="L7" s="154" t="s">
        <v>109</v>
      </c>
      <c r="M7" s="154" t="s">
        <v>109</v>
      </c>
      <c r="N7" s="154" t="s">
        <v>109</v>
      </c>
      <c r="O7" s="154" t="s">
        <v>109</v>
      </c>
      <c r="P7" s="154" t="s">
        <v>109</v>
      </c>
      <c r="Q7" s="154" t="s">
        <v>109</v>
      </c>
      <c r="R7" s="154" t="s">
        <v>109</v>
      </c>
      <c r="T7" s="34" t="s">
        <v>842</v>
      </c>
    </row>
    <row r="8" spans="1:22" x14ac:dyDescent="0.45">
      <c r="A8" s="153">
        <v>1</v>
      </c>
      <c r="B8" s="16" t="s">
        <v>133</v>
      </c>
      <c r="C8" s="153"/>
      <c r="F8" s="1"/>
      <c r="G8" s="1"/>
      <c r="H8" s="1"/>
      <c r="I8" s="1"/>
      <c r="J8" s="1"/>
      <c r="K8" s="1"/>
      <c r="L8" s="1"/>
      <c r="M8" s="1"/>
      <c r="N8" s="1"/>
      <c r="O8" s="1"/>
      <c r="P8" s="1"/>
      <c r="Q8" s="1"/>
      <c r="R8" s="1"/>
    </row>
    <row r="9" spans="1:22" x14ac:dyDescent="0.45">
      <c r="A9" s="153">
        <f>+A8+1</f>
        <v>2</v>
      </c>
      <c r="B9" s="21" t="s">
        <v>107</v>
      </c>
      <c r="C9" s="153" t="s">
        <v>3</v>
      </c>
      <c r="D9" s="153">
        <v>1</v>
      </c>
      <c r="E9" s="153" t="s">
        <v>129</v>
      </c>
      <c r="F9" s="162">
        <v>6597</v>
      </c>
      <c r="G9" s="162">
        <v>6237</v>
      </c>
      <c r="H9" s="162">
        <v>4772</v>
      </c>
      <c r="I9" s="162">
        <v>4562</v>
      </c>
      <c r="J9" s="162">
        <v>6128</v>
      </c>
      <c r="K9" s="162">
        <v>6035</v>
      </c>
      <c r="L9" s="162">
        <v>6719</v>
      </c>
      <c r="M9" s="162">
        <v>6061</v>
      </c>
      <c r="N9" s="162">
        <v>6354</v>
      </c>
      <c r="O9" s="162">
        <v>4437</v>
      </c>
      <c r="P9" s="162">
        <v>5190</v>
      </c>
      <c r="Q9" s="162">
        <v>5472</v>
      </c>
      <c r="R9" s="1">
        <f t="shared" ref="R9:R14" si="0">SUM(F9:Q9)</f>
        <v>68564</v>
      </c>
      <c r="T9" s="1"/>
      <c r="V9" s="22"/>
    </row>
    <row r="10" spans="1:22" x14ac:dyDescent="0.45">
      <c r="A10" s="153">
        <f t="shared" ref="A10:A63" si="1">+A9+1</f>
        <v>3</v>
      </c>
      <c r="B10" s="21" t="s">
        <v>108</v>
      </c>
      <c r="C10" s="153" t="s">
        <v>3</v>
      </c>
      <c r="D10" s="153">
        <v>1</v>
      </c>
      <c r="E10" s="153" t="s">
        <v>129</v>
      </c>
      <c r="F10" s="163">
        <v>5609</v>
      </c>
      <c r="G10" s="163">
        <v>6764</v>
      </c>
      <c r="H10" s="163">
        <v>5863</v>
      </c>
      <c r="I10" s="163">
        <v>6154</v>
      </c>
      <c r="J10" s="163">
        <v>8213</v>
      </c>
      <c r="K10" s="163">
        <v>7274</v>
      </c>
      <c r="L10" s="163">
        <v>6796</v>
      </c>
      <c r="M10" s="163">
        <v>6328</v>
      </c>
      <c r="N10" s="163">
        <v>7344</v>
      </c>
      <c r="O10" s="163">
        <v>5365</v>
      </c>
      <c r="P10" s="163">
        <v>6048</v>
      </c>
      <c r="Q10" s="163">
        <v>6217</v>
      </c>
      <c r="R10" s="1">
        <f t="shared" si="0"/>
        <v>77975</v>
      </c>
      <c r="T10" s="1"/>
      <c r="V10" s="22"/>
    </row>
    <row r="11" spans="1:22" x14ac:dyDescent="0.45">
      <c r="A11" s="153">
        <f t="shared" si="1"/>
        <v>4</v>
      </c>
      <c r="B11" s="21" t="s">
        <v>782</v>
      </c>
      <c r="C11" s="153" t="s">
        <v>3</v>
      </c>
      <c r="D11" s="153"/>
      <c r="E11" s="153"/>
      <c r="F11" s="20"/>
      <c r="G11" s="20"/>
      <c r="H11" s="20"/>
      <c r="I11" s="20"/>
      <c r="J11" s="20"/>
      <c r="K11" s="20"/>
      <c r="L11" s="20"/>
      <c r="M11" s="20"/>
      <c r="N11" s="20"/>
      <c r="O11" s="20"/>
      <c r="P11" s="20"/>
      <c r="Q11" s="20"/>
      <c r="R11" s="1">
        <f t="shared" si="0"/>
        <v>0</v>
      </c>
      <c r="T11" s="1"/>
      <c r="V11" s="22"/>
    </row>
    <row r="12" spans="1:22" x14ac:dyDescent="0.45">
      <c r="A12" s="153">
        <f t="shared" si="1"/>
        <v>5</v>
      </c>
      <c r="B12" s="21" t="s">
        <v>0</v>
      </c>
      <c r="C12" s="153" t="s">
        <v>3</v>
      </c>
      <c r="D12" s="153"/>
      <c r="E12" s="153"/>
      <c r="F12" s="8">
        <f t="shared" ref="F12:Q12" si="2">SUM(F9:F11)</f>
        <v>12206</v>
      </c>
      <c r="G12" s="8">
        <f t="shared" si="2"/>
        <v>13001</v>
      </c>
      <c r="H12" s="8">
        <f t="shared" si="2"/>
        <v>10635</v>
      </c>
      <c r="I12" s="8">
        <f t="shared" si="2"/>
        <v>10716</v>
      </c>
      <c r="J12" s="8">
        <f t="shared" si="2"/>
        <v>14341</v>
      </c>
      <c r="K12" s="8">
        <f t="shared" si="2"/>
        <v>13309</v>
      </c>
      <c r="L12" s="8">
        <f t="shared" si="2"/>
        <v>13515</v>
      </c>
      <c r="M12" s="8">
        <f t="shared" si="2"/>
        <v>12389</v>
      </c>
      <c r="N12" s="8">
        <f t="shared" si="2"/>
        <v>13698</v>
      </c>
      <c r="O12" s="8">
        <f t="shared" si="2"/>
        <v>9802</v>
      </c>
      <c r="P12" s="8">
        <f t="shared" si="2"/>
        <v>11238</v>
      </c>
      <c r="Q12" s="8">
        <f t="shared" si="2"/>
        <v>11689</v>
      </c>
      <c r="R12" s="1">
        <f t="shared" si="0"/>
        <v>146539</v>
      </c>
      <c r="T12" s="1"/>
      <c r="V12" s="13"/>
    </row>
    <row r="13" spans="1:22" x14ac:dyDescent="0.45">
      <c r="A13" s="153">
        <f t="shared" si="1"/>
        <v>6</v>
      </c>
      <c r="B13" s="21" t="s">
        <v>752</v>
      </c>
      <c r="C13" s="153"/>
      <c r="D13" s="153"/>
      <c r="E13" s="153"/>
      <c r="F13" s="1"/>
      <c r="G13" s="1"/>
      <c r="H13" s="1"/>
      <c r="I13" s="1"/>
      <c r="J13" s="1"/>
      <c r="K13" s="1"/>
      <c r="L13" s="1"/>
      <c r="M13" s="1"/>
      <c r="N13" s="1"/>
      <c r="O13" s="1"/>
      <c r="P13" s="1"/>
      <c r="Q13" s="1"/>
      <c r="R13" s="1">
        <f t="shared" si="0"/>
        <v>0</v>
      </c>
    </row>
    <row r="14" spans="1:22" x14ac:dyDescent="0.45">
      <c r="A14" s="153">
        <f t="shared" si="1"/>
        <v>7</v>
      </c>
      <c r="B14" s="21" t="s">
        <v>131</v>
      </c>
      <c r="C14" s="153"/>
      <c r="D14" s="153"/>
      <c r="E14" s="153"/>
      <c r="F14" s="1">
        <f>SUM(F12:F13)</f>
        <v>12206</v>
      </c>
      <c r="G14" s="1">
        <f t="shared" ref="G14:Q14" si="3">SUM(G12:G13)</f>
        <v>13001</v>
      </c>
      <c r="H14" s="1">
        <f t="shared" si="3"/>
        <v>10635</v>
      </c>
      <c r="I14" s="1">
        <f t="shared" si="3"/>
        <v>10716</v>
      </c>
      <c r="J14" s="1">
        <f t="shared" si="3"/>
        <v>14341</v>
      </c>
      <c r="K14" s="1">
        <f t="shared" si="3"/>
        <v>13309</v>
      </c>
      <c r="L14" s="1">
        <f t="shared" si="3"/>
        <v>13515</v>
      </c>
      <c r="M14" s="1">
        <f t="shared" si="3"/>
        <v>12389</v>
      </c>
      <c r="N14" s="1">
        <f t="shared" si="3"/>
        <v>13698</v>
      </c>
      <c r="O14" s="1">
        <f t="shared" si="3"/>
        <v>9802</v>
      </c>
      <c r="P14" s="1">
        <f t="shared" si="3"/>
        <v>11238</v>
      </c>
      <c r="Q14" s="1">
        <f t="shared" si="3"/>
        <v>11689</v>
      </c>
      <c r="R14" s="1">
        <f t="shared" si="0"/>
        <v>146539</v>
      </c>
    </row>
    <row r="15" spans="1:22" x14ac:dyDescent="0.45">
      <c r="A15" s="153">
        <f t="shared" si="1"/>
        <v>8</v>
      </c>
      <c r="C15" s="153"/>
      <c r="D15" s="153"/>
      <c r="E15" s="153"/>
      <c r="F15" s="1"/>
      <c r="G15" s="1"/>
      <c r="H15" s="1"/>
      <c r="I15" s="1"/>
      <c r="J15" s="1"/>
      <c r="K15" s="1"/>
      <c r="L15" s="1"/>
      <c r="M15" s="1"/>
      <c r="N15" s="1"/>
      <c r="O15" s="1"/>
      <c r="P15" s="1"/>
      <c r="Q15" s="1"/>
      <c r="R15" s="1"/>
    </row>
    <row r="16" spans="1:22" x14ac:dyDescent="0.45">
      <c r="A16" s="153">
        <f t="shared" si="1"/>
        <v>9</v>
      </c>
      <c r="B16" s="21" t="s">
        <v>132</v>
      </c>
      <c r="C16" s="153"/>
      <c r="D16" s="153"/>
      <c r="E16" s="153"/>
      <c r="F16" s="1"/>
      <c r="G16" s="1"/>
      <c r="H16" s="1"/>
      <c r="I16" s="1"/>
      <c r="J16" s="1"/>
      <c r="K16" s="1"/>
      <c r="L16" s="20"/>
      <c r="M16" s="20"/>
      <c r="N16" s="20"/>
      <c r="O16" s="20"/>
      <c r="P16" s="20"/>
      <c r="Q16" s="20"/>
      <c r="R16" s="1"/>
    </row>
    <row r="17" spans="1:22" x14ac:dyDescent="0.45">
      <c r="A17" s="153">
        <f t="shared" si="1"/>
        <v>10</v>
      </c>
      <c r="D17" s="154"/>
      <c r="F17" s="20"/>
      <c r="G17" s="20"/>
      <c r="H17" s="20"/>
      <c r="I17" s="20"/>
      <c r="J17" s="20"/>
      <c r="K17" s="20"/>
      <c r="L17" s="20"/>
      <c r="M17" s="20"/>
      <c r="N17" s="20"/>
      <c r="O17" s="20"/>
      <c r="P17" s="20"/>
      <c r="Q17" s="20"/>
      <c r="R17" s="154"/>
    </row>
    <row r="18" spans="1:22" x14ac:dyDescent="0.45">
      <c r="A18" s="153">
        <f t="shared" si="1"/>
        <v>11</v>
      </c>
      <c r="B18" s="16" t="s">
        <v>134</v>
      </c>
      <c r="D18" s="154"/>
      <c r="F18" s="154"/>
      <c r="G18" s="154"/>
      <c r="H18" s="154"/>
      <c r="I18" s="154"/>
      <c r="J18" s="154"/>
      <c r="K18" s="154"/>
      <c r="L18" s="154"/>
      <c r="M18" s="154"/>
      <c r="N18" s="154"/>
      <c r="O18" s="154"/>
      <c r="P18" s="154"/>
      <c r="Q18" s="154"/>
      <c r="R18" s="154"/>
    </row>
    <row r="19" spans="1:22" x14ac:dyDescent="0.45">
      <c r="A19" s="153">
        <f t="shared" si="1"/>
        <v>12</v>
      </c>
      <c r="B19" s="24" t="s">
        <v>102</v>
      </c>
      <c r="C19" s="153" t="s">
        <v>3</v>
      </c>
      <c r="D19" s="153">
        <v>1</v>
      </c>
      <c r="E19" s="153" t="s">
        <v>129</v>
      </c>
      <c r="F19" s="20">
        <v>6945.7</v>
      </c>
      <c r="G19" s="20">
        <v>6255.9</v>
      </c>
      <c r="H19" s="20">
        <v>6822.9</v>
      </c>
      <c r="I19" s="20">
        <v>6189.8</v>
      </c>
      <c r="J19" s="20">
        <v>6718.9</v>
      </c>
      <c r="K19" s="20">
        <v>7361.5</v>
      </c>
      <c r="L19" s="20">
        <v>8164.8</v>
      </c>
      <c r="M19" s="20">
        <v>7153.6</v>
      </c>
      <c r="N19" s="20">
        <v>6974.1</v>
      </c>
      <c r="O19" s="20">
        <v>5670</v>
      </c>
      <c r="P19" s="20">
        <v>5821.2</v>
      </c>
      <c r="Q19" s="20">
        <v>5859</v>
      </c>
      <c r="R19" s="1">
        <f t="shared" ref="R19:R28" si="4">SUM(F19:Q19)</f>
        <v>79937.399999999994</v>
      </c>
      <c r="T19" s="1"/>
      <c r="V19" s="22"/>
    </row>
    <row r="20" spans="1:22" x14ac:dyDescent="0.45">
      <c r="A20" s="153">
        <f t="shared" si="1"/>
        <v>13</v>
      </c>
      <c r="B20" s="24" t="s">
        <v>742</v>
      </c>
      <c r="C20" s="153" t="s">
        <v>3</v>
      </c>
      <c r="D20" s="153">
        <v>1</v>
      </c>
      <c r="E20" s="153" t="s">
        <v>129</v>
      </c>
      <c r="F20" s="20">
        <v>15251.9</v>
      </c>
      <c r="G20" s="20">
        <v>14723.7</v>
      </c>
      <c r="H20" s="20">
        <v>14029.6</v>
      </c>
      <c r="I20" s="20">
        <v>14576.1</v>
      </c>
      <c r="J20" s="20">
        <v>14959</v>
      </c>
      <c r="K20" s="20">
        <v>14677.6</v>
      </c>
      <c r="L20" s="20">
        <v>12721.7</v>
      </c>
      <c r="M20" s="20">
        <v>13951.5</v>
      </c>
      <c r="N20" s="20">
        <v>12707.8</v>
      </c>
      <c r="O20" s="20">
        <v>12389.4</v>
      </c>
      <c r="P20" s="20">
        <v>14185.7</v>
      </c>
      <c r="Q20" s="20">
        <v>15524</v>
      </c>
      <c r="R20" s="1">
        <f t="shared" si="4"/>
        <v>169698</v>
      </c>
    </row>
    <row r="21" spans="1:22" x14ac:dyDescent="0.45">
      <c r="A21" s="153">
        <f t="shared" si="1"/>
        <v>14</v>
      </c>
      <c r="B21" s="24" t="s">
        <v>743</v>
      </c>
      <c r="C21" s="153" t="s">
        <v>3</v>
      </c>
      <c r="D21" s="153">
        <v>1</v>
      </c>
      <c r="E21" s="153" t="s">
        <v>130</v>
      </c>
      <c r="F21" s="20">
        <v>1161.2</v>
      </c>
      <c r="G21" s="20">
        <v>1112.8</v>
      </c>
      <c r="H21" s="20">
        <v>1133.9000000000001</v>
      </c>
      <c r="I21" s="20">
        <v>790.7</v>
      </c>
      <c r="J21" s="20">
        <v>1355</v>
      </c>
      <c r="K21" s="20">
        <v>1680.7</v>
      </c>
      <c r="L21" s="20">
        <v>1587.9</v>
      </c>
      <c r="M21" s="20">
        <v>1330.2</v>
      </c>
      <c r="N21" s="20">
        <v>1480.9</v>
      </c>
      <c r="O21" s="20">
        <v>1051.5999999999999</v>
      </c>
      <c r="P21" s="20">
        <v>751</v>
      </c>
      <c r="Q21" s="20">
        <v>804</v>
      </c>
      <c r="R21" s="1">
        <f t="shared" si="4"/>
        <v>14239.900000000001</v>
      </c>
    </row>
    <row r="22" spans="1:22" x14ac:dyDescent="0.45">
      <c r="A22" s="153">
        <f t="shared" si="1"/>
        <v>15</v>
      </c>
      <c r="B22" s="21" t="s">
        <v>103</v>
      </c>
      <c r="C22" s="153" t="s">
        <v>3</v>
      </c>
      <c r="D22" s="153">
        <v>1</v>
      </c>
      <c r="E22" s="153" t="s">
        <v>130</v>
      </c>
      <c r="F22" s="20">
        <v>2043.4</v>
      </c>
      <c r="G22" s="20">
        <v>2293.9</v>
      </c>
      <c r="H22" s="20">
        <v>2069.3000000000002</v>
      </c>
      <c r="I22" s="20">
        <v>2000.2</v>
      </c>
      <c r="J22" s="20">
        <v>2734.6</v>
      </c>
      <c r="K22" s="20">
        <v>3024</v>
      </c>
      <c r="L22" s="20">
        <v>4034.9</v>
      </c>
      <c r="M22" s="20">
        <v>2859.8</v>
      </c>
      <c r="N22" s="20">
        <v>2795</v>
      </c>
      <c r="O22" s="20">
        <v>2164.3000000000002</v>
      </c>
      <c r="P22" s="20">
        <v>1477.4</v>
      </c>
      <c r="Q22" s="20">
        <v>2108.1999999999998</v>
      </c>
      <c r="R22" s="1">
        <f t="shared" si="4"/>
        <v>29605.000000000004</v>
      </c>
    </row>
    <row r="23" spans="1:22" x14ac:dyDescent="0.45">
      <c r="A23" s="153">
        <f t="shared" si="1"/>
        <v>16</v>
      </c>
      <c r="B23" s="21" t="s">
        <v>104</v>
      </c>
      <c r="C23" s="153" t="s">
        <v>3</v>
      </c>
      <c r="D23" s="153">
        <v>1</v>
      </c>
      <c r="E23" s="153" t="s">
        <v>130</v>
      </c>
      <c r="F23" s="20">
        <v>1259.9000000000001</v>
      </c>
      <c r="G23" s="20">
        <v>1320.7</v>
      </c>
      <c r="H23" s="20">
        <v>1408.4</v>
      </c>
      <c r="I23" s="20">
        <v>2939.2</v>
      </c>
      <c r="J23" s="20">
        <v>3743.1</v>
      </c>
      <c r="K23" s="20">
        <v>4257.8999999999996</v>
      </c>
      <c r="L23" s="20">
        <v>6134.8</v>
      </c>
      <c r="M23" s="20">
        <v>5470.6</v>
      </c>
      <c r="N23" s="20">
        <v>3875.2</v>
      </c>
      <c r="O23" s="20">
        <v>1397.8</v>
      </c>
      <c r="P23" s="20">
        <v>887.8</v>
      </c>
      <c r="Q23" s="20">
        <v>1346.7</v>
      </c>
      <c r="R23" s="1">
        <f t="shared" si="4"/>
        <v>34042.1</v>
      </c>
    </row>
    <row r="24" spans="1:22" x14ac:dyDescent="0.45">
      <c r="A24" s="153">
        <f t="shared" si="1"/>
        <v>17</v>
      </c>
      <c r="B24" s="21" t="s">
        <v>105</v>
      </c>
      <c r="C24" s="153" t="s">
        <v>3</v>
      </c>
      <c r="D24" s="153">
        <v>1</v>
      </c>
      <c r="E24" s="153" t="s">
        <v>130</v>
      </c>
      <c r="F24" s="20">
        <v>861.8</v>
      </c>
      <c r="G24" s="20">
        <v>1382.4</v>
      </c>
      <c r="H24" s="20">
        <v>1325.5</v>
      </c>
      <c r="I24" s="20">
        <v>822.3</v>
      </c>
      <c r="J24" s="20">
        <v>1866.3</v>
      </c>
      <c r="K24" s="20">
        <v>2101.5</v>
      </c>
      <c r="L24" s="20">
        <v>2728.1</v>
      </c>
      <c r="M24" s="20">
        <v>2450.4</v>
      </c>
      <c r="N24" s="20">
        <v>2360.8000000000002</v>
      </c>
      <c r="O24" s="20">
        <v>1225.2</v>
      </c>
      <c r="P24" s="20">
        <v>1103.8</v>
      </c>
      <c r="Q24" s="20">
        <v>1179.9000000000001</v>
      </c>
      <c r="R24" s="1">
        <f t="shared" si="4"/>
        <v>19408</v>
      </c>
    </row>
    <row r="25" spans="1:22" x14ac:dyDescent="0.45">
      <c r="A25" s="153">
        <f t="shared" si="1"/>
        <v>18</v>
      </c>
      <c r="B25" s="21" t="s">
        <v>106</v>
      </c>
      <c r="C25" s="153" t="s">
        <v>3</v>
      </c>
      <c r="D25" s="153">
        <v>1</v>
      </c>
      <c r="E25" s="153" t="s">
        <v>130</v>
      </c>
      <c r="F25" s="20">
        <v>3181.1</v>
      </c>
      <c r="G25" s="20">
        <v>3062.6</v>
      </c>
      <c r="H25" s="20">
        <v>2003.2</v>
      </c>
      <c r="I25" s="20">
        <v>2303.9</v>
      </c>
      <c r="J25" s="20">
        <v>3833.8</v>
      </c>
      <c r="K25" s="20">
        <v>5442.7</v>
      </c>
      <c r="L25" s="20">
        <v>7221.2</v>
      </c>
      <c r="M25" s="20">
        <v>7062.1</v>
      </c>
      <c r="N25" s="20">
        <v>5706.8</v>
      </c>
      <c r="O25" s="20">
        <v>3199.5</v>
      </c>
      <c r="P25" s="20">
        <v>2847.6</v>
      </c>
      <c r="Q25" s="20">
        <v>3497.3</v>
      </c>
      <c r="R25" s="1">
        <f t="shared" si="4"/>
        <v>49361.8</v>
      </c>
    </row>
    <row r="26" spans="1:22" x14ac:dyDescent="0.45">
      <c r="A26" s="153">
        <f t="shared" si="1"/>
        <v>19</v>
      </c>
      <c r="B26" s="21" t="s">
        <v>782</v>
      </c>
      <c r="C26" s="153" t="s">
        <v>3</v>
      </c>
      <c r="D26" s="153"/>
      <c r="E26" s="153"/>
      <c r="F26" s="20"/>
      <c r="G26" s="20"/>
      <c r="H26" s="20"/>
      <c r="I26" s="20"/>
      <c r="J26" s="20"/>
      <c r="K26" s="20"/>
      <c r="L26" s="20"/>
      <c r="M26" s="20"/>
      <c r="N26" s="20"/>
      <c r="O26" s="20"/>
      <c r="P26" s="20"/>
      <c r="Q26" s="20"/>
      <c r="R26" s="1">
        <f>SUM(F26:Q26)</f>
        <v>0</v>
      </c>
      <c r="T26" s="1"/>
    </row>
    <row r="27" spans="1:22" x14ac:dyDescent="0.45">
      <c r="A27" s="153">
        <f t="shared" si="1"/>
        <v>20</v>
      </c>
      <c r="B27" s="21" t="s">
        <v>0</v>
      </c>
      <c r="C27" s="153" t="s">
        <v>3</v>
      </c>
      <c r="D27" s="153"/>
      <c r="F27" s="8">
        <f t="shared" ref="F27:Q27" si="5">SUM(F19:F26)</f>
        <v>30705</v>
      </c>
      <c r="G27" s="8">
        <f t="shared" si="5"/>
        <v>30152</v>
      </c>
      <c r="H27" s="8">
        <f t="shared" si="5"/>
        <v>28792.800000000003</v>
      </c>
      <c r="I27" s="8">
        <f t="shared" si="5"/>
        <v>29622.200000000004</v>
      </c>
      <c r="J27" s="8">
        <f t="shared" si="5"/>
        <v>35210.699999999997</v>
      </c>
      <c r="K27" s="8">
        <f t="shared" si="5"/>
        <v>38545.899999999994</v>
      </c>
      <c r="L27" s="8">
        <f t="shared" si="5"/>
        <v>42593.4</v>
      </c>
      <c r="M27" s="8">
        <f t="shared" si="5"/>
        <v>40278.199999999997</v>
      </c>
      <c r="N27" s="8">
        <f t="shared" si="5"/>
        <v>35900.600000000006</v>
      </c>
      <c r="O27" s="8">
        <f t="shared" si="5"/>
        <v>27097.8</v>
      </c>
      <c r="P27" s="8">
        <f t="shared" si="5"/>
        <v>27074.5</v>
      </c>
      <c r="Q27" s="8">
        <f t="shared" si="5"/>
        <v>30319.100000000002</v>
      </c>
      <c r="R27" s="1">
        <f t="shared" si="4"/>
        <v>396292.2</v>
      </c>
    </row>
    <row r="28" spans="1:22" x14ac:dyDescent="0.45">
      <c r="A28" s="153">
        <f t="shared" si="1"/>
        <v>21</v>
      </c>
      <c r="B28" s="21" t="s">
        <v>752</v>
      </c>
      <c r="C28" s="153"/>
      <c r="D28" s="153"/>
      <c r="F28" s="1">
        <f t="shared" ref="F28:Q28" si="6">-SUM(F21:F25)</f>
        <v>-8507.4</v>
      </c>
      <c r="G28" s="1">
        <f t="shared" si="6"/>
        <v>-9172.4</v>
      </c>
      <c r="H28" s="1">
        <f t="shared" si="6"/>
        <v>-7940.3</v>
      </c>
      <c r="I28" s="1">
        <f t="shared" si="6"/>
        <v>-8856.3000000000011</v>
      </c>
      <c r="J28" s="1">
        <f t="shared" si="6"/>
        <v>-13532.8</v>
      </c>
      <c r="K28" s="1">
        <f t="shared" si="6"/>
        <v>-16506.8</v>
      </c>
      <c r="L28" s="1">
        <f t="shared" si="6"/>
        <v>-21706.9</v>
      </c>
      <c r="M28" s="1">
        <f t="shared" si="6"/>
        <v>-19173.099999999999</v>
      </c>
      <c r="N28" s="1">
        <f t="shared" si="6"/>
        <v>-16218.7</v>
      </c>
      <c r="O28" s="1">
        <f t="shared" si="6"/>
        <v>-9038.4</v>
      </c>
      <c r="P28" s="1">
        <f t="shared" si="6"/>
        <v>-7067.6</v>
      </c>
      <c r="Q28" s="1">
        <f t="shared" si="6"/>
        <v>-8936.0999999999985</v>
      </c>
      <c r="R28" s="1">
        <f t="shared" si="4"/>
        <v>-146656.79999999999</v>
      </c>
    </row>
    <row r="29" spans="1:22" x14ac:dyDescent="0.45">
      <c r="A29" s="153">
        <f t="shared" si="1"/>
        <v>22</v>
      </c>
      <c r="B29" s="21" t="s">
        <v>131</v>
      </c>
      <c r="C29" s="153"/>
      <c r="D29" s="153"/>
      <c r="F29" s="1">
        <f t="shared" ref="F29:Q29" si="7">SUM(F27:F28)</f>
        <v>22197.599999999999</v>
      </c>
      <c r="G29" s="1">
        <f t="shared" si="7"/>
        <v>20979.599999999999</v>
      </c>
      <c r="H29" s="1">
        <f t="shared" si="7"/>
        <v>20852.500000000004</v>
      </c>
      <c r="I29" s="1">
        <f t="shared" si="7"/>
        <v>20765.900000000001</v>
      </c>
      <c r="J29" s="1">
        <f t="shared" si="7"/>
        <v>21677.899999999998</v>
      </c>
      <c r="K29" s="1">
        <f t="shared" si="7"/>
        <v>22039.099999999995</v>
      </c>
      <c r="L29" s="1">
        <f t="shared" si="7"/>
        <v>20886.5</v>
      </c>
      <c r="M29" s="1">
        <f t="shared" si="7"/>
        <v>21105.1</v>
      </c>
      <c r="N29" s="1">
        <f t="shared" si="7"/>
        <v>19681.900000000005</v>
      </c>
      <c r="O29" s="1">
        <f t="shared" si="7"/>
        <v>18059.400000000001</v>
      </c>
      <c r="P29" s="1">
        <f t="shared" si="7"/>
        <v>20006.900000000001</v>
      </c>
      <c r="Q29" s="1">
        <f t="shared" si="7"/>
        <v>21383.000000000004</v>
      </c>
      <c r="R29" s="1">
        <f>SUM(F29:Q29)</f>
        <v>249635.39999999997</v>
      </c>
    </row>
    <row r="30" spans="1:22" x14ac:dyDescent="0.45">
      <c r="A30" s="153">
        <f t="shared" si="1"/>
        <v>23</v>
      </c>
      <c r="C30" s="153"/>
      <c r="D30" s="153"/>
      <c r="F30" s="1"/>
      <c r="G30" s="1"/>
      <c r="H30" s="1"/>
      <c r="I30" s="1"/>
      <c r="J30" s="1"/>
      <c r="K30" s="1"/>
      <c r="L30" s="1"/>
      <c r="M30" s="1"/>
      <c r="N30" s="1"/>
      <c r="O30" s="1"/>
      <c r="P30" s="1"/>
      <c r="Q30" s="1"/>
      <c r="R30" s="1"/>
      <c r="T30" s="1"/>
      <c r="V30" s="13"/>
    </row>
    <row r="31" spans="1:22" x14ac:dyDescent="0.45">
      <c r="A31" s="153">
        <f t="shared" si="1"/>
        <v>24</v>
      </c>
      <c r="C31" s="153"/>
      <c r="F31" s="1"/>
      <c r="G31" s="1"/>
      <c r="H31" s="1"/>
      <c r="I31" s="1"/>
      <c r="J31" s="1"/>
      <c r="K31" s="1"/>
      <c r="L31" s="1"/>
      <c r="M31" s="1"/>
      <c r="N31" s="1"/>
      <c r="O31" s="1"/>
      <c r="P31" s="1"/>
      <c r="Q31" s="1"/>
      <c r="R31" s="1"/>
      <c r="V31" s="13"/>
    </row>
    <row r="32" spans="1:22" x14ac:dyDescent="0.45">
      <c r="A32" s="153">
        <f t="shared" si="1"/>
        <v>25</v>
      </c>
      <c r="B32" s="16" t="s">
        <v>111</v>
      </c>
      <c r="C32" s="153"/>
      <c r="F32" s="1"/>
      <c r="G32" s="1"/>
      <c r="H32" s="1"/>
      <c r="I32" s="1"/>
      <c r="J32" s="1"/>
      <c r="K32" s="1"/>
      <c r="L32" s="1"/>
      <c r="M32" s="1"/>
      <c r="N32" s="1"/>
      <c r="O32" s="1"/>
      <c r="P32" s="1"/>
      <c r="Q32" s="1"/>
      <c r="R32" s="1"/>
    </row>
    <row r="33" spans="1:22" x14ac:dyDescent="0.45">
      <c r="A33" s="153">
        <f t="shared" si="1"/>
        <v>26</v>
      </c>
      <c r="B33" s="21" t="s">
        <v>112</v>
      </c>
      <c r="C33" s="153" t="s">
        <v>3</v>
      </c>
      <c r="D33" s="21">
        <v>1</v>
      </c>
      <c r="E33" s="153" t="s">
        <v>129</v>
      </c>
      <c r="F33" s="20">
        <v>4599</v>
      </c>
      <c r="G33" s="20">
        <v>3654</v>
      </c>
      <c r="H33" s="20">
        <v>6363</v>
      </c>
      <c r="I33" s="20">
        <v>13141.8</v>
      </c>
      <c r="J33" s="20">
        <v>22793.4</v>
      </c>
      <c r="K33" s="20">
        <v>22012.2</v>
      </c>
      <c r="L33" s="20">
        <v>23725.8</v>
      </c>
      <c r="M33" s="20">
        <v>22717.8</v>
      </c>
      <c r="N33" s="20">
        <v>9828</v>
      </c>
      <c r="O33" s="20">
        <v>3477.6</v>
      </c>
      <c r="P33" s="20">
        <v>5266.8</v>
      </c>
      <c r="Q33" s="20">
        <v>4737.6000000000004</v>
      </c>
      <c r="R33" s="1">
        <f t="shared" ref="R33:R54" si="8">SUM(F33:Q33)</f>
        <v>142317</v>
      </c>
      <c r="T33" s="1"/>
      <c r="V33" s="22"/>
    </row>
    <row r="34" spans="1:22" x14ac:dyDescent="0.45">
      <c r="A34" s="153">
        <f t="shared" si="1"/>
        <v>27</v>
      </c>
      <c r="B34" s="21" t="s">
        <v>113</v>
      </c>
      <c r="C34" s="153" t="s">
        <v>3</v>
      </c>
      <c r="D34" s="21">
        <v>1</v>
      </c>
      <c r="E34" s="153" t="s">
        <v>129</v>
      </c>
      <c r="F34" s="20">
        <v>3304.8</v>
      </c>
      <c r="G34" s="20">
        <v>3168.7</v>
      </c>
      <c r="H34" s="20">
        <v>3188.2</v>
      </c>
      <c r="I34" s="20">
        <v>5235.8</v>
      </c>
      <c r="J34" s="20">
        <v>6298.6</v>
      </c>
      <c r="K34" s="20">
        <v>6194.9</v>
      </c>
      <c r="L34" s="20">
        <v>7892.6</v>
      </c>
      <c r="M34" s="20">
        <v>8676.7000000000007</v>
      </c>
      <c r="N34" s="20">
        <v>6985.4</v>
      </c>
      <c r="O34" s="20">
        <v>2883.6</v>
      </c>
      <c r="P34" s="20">
        <v>3687.1</v>
      </c>
      <c r="Q34" s="20">
        <v>4646.2</v>
      </c>
      <c r="R34" s="1">
        <f t="shared" si="8"/>
        <v>62162.6</v>
      </c>
      <c r="T34" s="1"/>
      <c r="V34" s="22"/>
    </row>
    <row r="35" spans="1:22" x14ac:dyDescent="0.45">
      <c r="A35" s="153">
        <f t="shared" si="1"/>
        <v>28</v>
      </c>
      <c r="B35" s="21" t="s">
        <v>114</v>
      </c>
      <c r="C35" s="153" t="s">
        <v>3</v>
      </c>
      <c r="D35" s="21">
        <v>1</v>
      </c>
      <c r="E35" s="153" t="s">
        <v>129</v>
      </c>
      <c r="F35" s="20">
        <v>1360.8</v>
      </c>
      <c r="G35" s="20">
        <v>1260.4000000000001</v>
      </c>
      <c r="H35" s="20">
        <v>1325.2</v>
      </c>
      <c r="I35" s="20">
        <v>6130.1</v>
      </c>
      <c r="J35" s="20">
        <v>7895.9</v>
      </c>
      <c r="K35" s="20">
        <v>7338.6</v>
      </c>
      <c r="L35" s="20">
        <v>9700.6</v>
      </c>
      <c r="M35" s="20">
        <v>9072</v>
      </c>
      <c r="N35" s="20">
        <v>4873</v>
      </c>
      <c r="O35" s="20">
        <v>1415.9</v>
      </c>
      <c r="P35" s="20">
        <v>1176.0999999999999</v>
      </c>
      <c r="Q35" s="20">
        <v>1224.7</v>
      </c>
      <c r="R35" s="1">
        <f t="shared" si="8"/>
        <v>52773.299999999996</v>
      </c>
      <c r="T35" s="1"/>
      <c r="V35" s="22"/>
    </row>
    <row r="36" spans="1:22" x14ac:dyDescent="0.45">
      <c r="A36" s="153">
        <f t="shared" si="1"/>
        <v>29</v>
      </c>
      <c r="B36" s="21" t="s">
        <v>115</v>
      </c>
      <c r="C36" s="153" t="s">
        <v>3</v>
      </c>
      <c r="D36" s="21">
        <v>1</v>
      </c>
      <c r="E36" s="153" t="s">
        <v>129</v>
      </c>
      <c r="F36" s="20">
        <v>10347.4</v>
      </c>
      <c r="G36" s="20">
        <v>7586.5</v>
      </c>
      <c r="H36" s="20">
        <v>7907.6</v>
      </c>
      <c r="I36" s="20">
        <v>17206.2</v>
      </c>
      <c r="J36" s="20">
        <v>18263.8</v>
      </c>
      <c r="K36" s="20">
        <v>18731.099999999999</v>
      </c>
      <c r="L36" s="20">
        <v>22922.7</v>
      </c>
      <c r="M36" s="20">
        <v>23841.7</v>
      </c>
      <c r="N36" s="20">
        <v>16565.3</v>
      </c>
      <c r="O36" s="20">
        <v>6916.2</v>
      </c>
      <c r="P36" s="20">
        <v>9734.5</v>
      </c>
      <c r="Q36" s="20">
        <v>9230.6</v>
      </c>
      <c r="R36" s="1">
        <f t="shared" si="8"/>
        <v>169253.6</v>
      </c>
      <c r="T36" s="1"/>
      <c r="V36" s="22"/>
    </row>
    <row r="37" spans="1:22" x14ac:dyDescent="0.45">
      <c r="A37" s="153">
        <f t="shared" si="1"/>
        <v>30</v>
      </c>
      <c r="B37" s="21" t="s">
        <v>116</v>
      </c>
      <c r="C37" s="153" t="s">
        <v>3</v>
      </c>
      <c r="D37" s="21">
        <v>1</v>
      </c>
      <c r="E37" s="153" t="s">
        <v>129</v>
      </c>
      <c r="F37" s="20">
        <v>10805.4</v>
      </c>
      <c r="G37" s="20">
        <v>9115.7999999999993</v>
      </c>
      <c r="H37" s="20">
        <v>7770.4</v>
      </c>
      <c r="I37" s="20">
        <v>6660</v>
      </c>
      <c r="J37" s="20">
        <v>10580.8</v>
      </c>
      <c r="K37" s="20">
        <v>10834.1</v>
      </c>
      <c r="L37" s="20">
        <v>11708.5</v>
      </c>
      <c r="M37" s="20">
        <v>10497.3</v>
      </c>
      <c r="N37" s="20">
        <v>9126.6</v>
      </c>
      <c r="O37" s="20">
        <v>7645.8</v>
      </c>
      <c r="P37" s="20">
        <v>8807.2000000000007</v>
      </c>
      <c r="Q37" s="20">
        <v>9258.2000000000007</v>
      </c>
      <c r="R37" s="1">
        <f t="shared" si="8"/>
        <v>112810.1</v>
      </c>
      <c r="T37" s="1"/>
      <c r="V37" s="22"/>
    </row>
    <row r="38" spans="1:22" x14ac:dyDescent="0.45">
      <c r="A38" s="153">
        <f t="shared" si="1"/>
        <v>31</v>
      </c>
      <c r="B38" s="21" t="s">
        <v>117</v>
      </c>
      <c r="C38" s="153" t="s">
        <v>3</v>
      </c>
      <c r="D38" s="21">
        <v>1</v>
      </c>
      <c r="E38" s="153" t="s">
        <v>129</v>
      </c>
      <c r="F38" s="20">
        <v>21811.5</v>
      </c>
      <c r="G38" s="20">
        <v>18182.400000000001</v>
      </c>
      <c r="H38" s="20">
        <v>15059.9</v>
      </c>
      <c r="I38" s="20">
        <v>16649.900000000001</v>
      </c>
      <c r="J38" s="20">
        <v>31713.1</v>
      </c>
      <c r="K38" s="20">
        <v>31935.1</v>
      </c>
      <c r="L38" s="20">
        <v>37207.5</v>
      </c>
      <c r="M38" s="20">
        <v>31531.7</v>
      </c>
      <c r="N38" s="20">
        <v>25855.200000000001</v>
      </c>
      <c r="O38" s="20">
        <v>23969.3</v>
      </c>
      <c r="P38" s="20">
        <v>18733.599999999999</v>
      </c>
      <c r="Q38" s="20">
        <v>18179.900000000001</v>
      </c>
      <c r="R38" s="1">
        <f t="shared" si="8"/>
        <v>290829.10000000003</v>
      </c>
      <c r="T38" s="1"/>
      <c r="V38" s="22"/>
    </row>
    <row r="39" spans="1:22" x14ac:dyDescent="0.45">
      <c r="A39" s="153">
        <f t="shared" si="1"/>
        <v>32</v>
      </c>
      <c r="B39" s="21" t="s">
        <v>118</v>
      </c>
      <c r="C39" s="153" t="s">
        <v>3</v>
      </c>
      <c r="D39" s="21">
        <v>1</v>
      </c>
      <c r="E39" s="153" t="s">
        <v>129</v>
      </c>
      <c r="F39" s="20">
        <v>1589.8</v>
      </c>
      <c r="G39" s="20">
        <v>1563.8</v>
      </c>
      <c r="H39" s="20">
        <v>2661.1</v>
      </c>
      <c r="I39" s="20">
        <v>7335.4</v>
      </c>
      <c r="J39" s="20">
        <v>11880</v>
      </c>
      <c r="K39" s="20">
        <v>11733.1</v>
      </c>
      <c r="L39" s="20">
        <v>10730.9</v>
      </c>
      <c r="M39" s="20">
        <v>10869.1</v>
      </c>
      <c r="N39" s="20">
        <v>5201.3</v>
      </c>
      <c r="O39" s="20">
        <v>941.8</v>
      </c>
      <c r="P39" s="20">
        <v>820.8</v>
      </c>
      <c r="Q39" s="20">
        <v>1321.9</v>
      </c>
      <c r="R39" s="1">
        <f t="shared" si="8"/>
        <v>66649</v>
      </c>
      <c r="T39" s="1"/>
      <c r="V39" s="22"/>
    </row>
    <row r="40" spans="1:22" x14ac:dyDescent="0.45">
      <c r="A40" s="153">
        <f t="shared" si="1"/>
        <v>33</v>
      </c>
      <c r="B40" s="21" t="s">
        <v>119</v>
      </c>
      <c r="C40" s="153" t="s">
        <v>3</v>
      </c>
      <c r="D40" s="21">
        <v>1</v>
      </c>
      <c r="E40" s="153" t="s">
        <v>129</v>
      </c>
      <c r="F40" s="20">
        <v>8726.4</v>
      </c>
      <c r="G40" s="20">
        <v>6462.7</v>
      </c>
      <c r="H40" s="20">
        <v>5408.6</v>
      </c>
      <c r="I40" s="20">
        <v>5356.8</v>
      </c>
      <c r="J40" s="20">
        <v>8333.2999999999993</v>
      </c>
      <c r="K40" s="20">
        <v>8329</v>
      </c>
      <c r="L40" s="20">
        <v>9318.2000000000007</v>
      </c>
      <c r="M40" s="20">
        <v>8393.7999999999993</v>
      </c>
      <c r="N40" s="20">
        <v>6946.6</v>
      </c>
      <c r="O40" s="20">
        <v>5041.3999999999996</v>
      </c>
      <c r="P40" s="20">
        <v>6324.5</v>
      </c>
      <c r="Q40" s="20">
        <v>8324.6</v>
      </c>
      <c r="R40" s="1">
        <f t="shared" si="8"/>
        <v>86965.900000000009</v>
      </c>
      <c r="T40" s="1"/>
      <c r="V40" s="22"/>
    </row>
    <row r="41" spans="1:22" x14ac:dyDescent="0.45">
      <c r="A41" s="153">
        <f t="shared" si="1"/>
        <v>34</v>
      </c>
      <c r="B41" s="21" t="s">
        <v>120</v>
      </c>
      <c r="C41" s="153" t="s">
        <v>3</v>
      </c>
      <c r="D41" s="21">
        <v>1</v>
      </c>
      <c r="E41" s="153" t="s">
        <v>129</v>
      </c>
      <c r="F41" s="20">
        <v>2222.6</v>
      </c>
      <c r="G41" s="20">
        <v>1979.6</v>
      </c>
      <c r="H41" s="20">
        <v>2008.8</v>
      </c>
      <c r="I41" s="20">
        <v>5073.8</v>
      </c>
      <c r="J41" s="20">
        <v>7575.1</v>
      </c>
      <c r="K41" s="20">
        <v>7448.8</v>
      </c>
      <c r="L41" s="20">
        <v>8974.7999999999993</v>
      </c>
      <c r="M41" s="20">
        <v>9169.2000000000007</v>
      </c>
      <c r="N41" s="20">
        <v>6071.8</v>
      </c>
      <c r="O41" s="20">
        <v>1795</v>
      </c>
      <c r="P41" s="20">
        <v>1840.3</v>
      </c>
      <c r="Q41" s="20">
        <v>1931</v>
      </c>
      <c r="R41" s="1">
        <f t="shared" si="8"/>
        <v>56090.8</v>
      </c>
      <c r="T41" s="1"/>
      <c r="V41" s="22"/>
    </row>
    <row r="42" spans="1:22" x14ac:dyDescent="0.45">
      <c r="A42" s="153">
        <f t="shared" si="1"/>
        <v>35</v>
      </c>
      <c r="B42" s="21" t="s">
        <v>121</v>
      </c>
      <c r="C42" s="153" t="s">
        <v>3</v>
      </c>
      <c r="D42" s="21">
        <v>1</v>
      </c>
      <c r="E42" s="153" t="s">
        <v>129</v>
      </c>
      <c r="F42" s="20">
        <v>2775.6</v>
      </c>
      <c r="G42" s="20">
        <v>2410.6</v>
      </c>
      <c r="H42" s="20">
        <v>1928.9</v>
      </c>
      <c r="I42" s="20">
        <v>2123.3000000000002</v>
      </c>
      <c r="J42" s="20">
        <v>3643.9</v>
      </c>
      <c r="K42" s="20">
        <v>3570.5</v>
      </c>
      <c r="L42" s="20">
        <v>4624.6000000000004</v>
      </c>
      <c r="M42" s="20">
        <v>4151.5</v>
      </c>
      <c r="N42" s="20">
        <v>2319.8000000000002</v>
      </c>
      <c r="O42" s="20">
        <v>1645.9</v>
      </c>
      <c r="P42" s="20">
        <v>2432.1999999999998</v>
      </c>
      <c r="Q42" s="20">
        <v>2458.1</v>
      </c>
      <c r="R42" s="1">
        <f t="shared" si="8"/>
        <v>34084.9</v>
      </c>
      <c r="T42" s="1"/>
      <c r="V42" s="22"/>
    </row>
    <row r="43" spans="1:22" x14ac:dyDescent="0.45">
      <c r="A43" s="153">
        <f t="shared" si="1"/>
        <v>36</v>
      </c>
      <c r="B43" s="21" t="s">
        <v>122</v>
      </c>
      <c r="C43" s="153" t="s">
        <v>3</v>
      </c>
      <c r="D43" s="21">
        <v>1</v>
      </c>
      <c r="E43" s="153" t="s">
        <v>129</v>
      </c>
      <c r="F43" s="20">
        <v>27058.1</v>
      </c>
      <c r="G43" s="20">
        <v>23791.1</v>
      </c>
      <c r="H43" s="20">
        <v>19091.099999999999</v>
      </c>
      <c r="I43" s="20">
        <v>18360.900000000001</v>
      </c>
      <c r="J43" s="20">
        <v>23863.7</v>
      </c>
      <c r="K43" s="20">
        <v>23606.400000000001</v>
      </c>
      <c r="L43" s="20">
        <v>26451.200000000001</v>
      </c>
      <c r="M43" s="20">
        <v>25088.799999999999</v>
      </c>
      <c r="N43" s="20">
        <v>19993</v>
      </c>
      <c r="O43" s="20">
        <v>17602.7</v>
      </c>
      <c r="P43" s="20">
        <v>16154.8</v>
      </c>
      <c r="Q43" s="20">
        <v>23460.3</v>
      </c>
      <c r="R43" s="1">
        <f t="shared" si="8"/>
        <v>264522.09999999998</v>
      </c>
      <c r="S43" s="90"/>
      <c r="T43" s="1"/>
      <c r="V43" s="22"/>
    </row>
    <row r="44" spans="1:22" x14ac:dyDescent="0.45">
      <c r="A44" s="153">
        <f t="shared" si="1"/>
        <v>37</v>
      </c>
      <c r="B44" s="21" t="s">
        <v>249</v>
      </c>
      <c r="C44" s="153" t="s">
        <v>3</v>
      </c>
      <c r="D44" s="21">
        <v>3</v>
      </c>
      <c r="E44" s="153" t="s">
        <v>129</v>
      </c>
      <c r="F44" s="20">
        <v>17981.7</v>
      </c>
      <c r="G44" s="20">
        <v>15833.9</v>
      </c>
      <c r="H44" s="20">
        <v>12686.3</v>
      </c>
      <c r="I44" s="20">
        <v>12283.5</v>
      </c>
      <c r="J44" s="20">
        <v>20756.5</v>
      </c>
      <c r="K44" s="20">
        <v>19649.400000000001</v>
      </c>
      <c r="L44" s="20">
        <v>22229.4</v>
      </c>
      <c r="M44" s="20">
        <v>19688.400000000001</v>
      </c>
      <c r="N44" s="20">
        <v>15612.9</v>
      </c>
      <c r="O44" s="20">
        <v>13817.6</v>
      </c>
      <c r="P44" s="20">
        <v>13518.5</v>
      </c>
      <c r="Q44" s="20">
        <v>13674.6</v>
      </c>
      <c r="R44" s="1">
        <f t="shared" si="8"/>
        <v>197732.69999999998</v>
      </c>
      <c r="T44" s="1"/>
      <c r="V44" s="22"/>
    </row>
    <row r="45" spans="1:22" x14ac:dyDescent="0.45">
      <c r="A45" s="153">
        <f t="shared" si="1"/>
        <v>38</v>
      </c>
      <c r="B45" s="21" t="s">
        <v>123</v>
      </c>
      <c r="C45" s="153" t="s">
        <v>3</v>
      </c>
      <c r="D45" s="21">
        <v>1</v>
      </c>
      <c r="E45" s="153" t="s">
        <v>129</v>
      </c>
      <c r="F45" s="20">
        <v>9525.6</v>
      </c>
      <c r="G45" s="20">
        <v>8650.7999999999993</v>
      </c>
      <c r="H45" s="20">
        <v>7303</v>
      </c>
      <c r="I45" s="20">
        <v>6998.4</v>
      </c>
      <c r="J45" s="20">
        <v>10844.3</v>
      </c>
      <c r="K45" s="20">
        <v>10057</v>
      </c>
      <c r="L45" s="20">
        <v>11515</v>
      </c>
      <c r="M45" s="20">
        <v>10478.200000000001</v>
      </c>
      <c r="N45" s="20">
        <v>8783.6</v>
      </c>
      <c r="O45" s="20">
        <v>7260.8</v>
      </c>
      <c r="P45" s="20">
        <v>7993.1</v>
      </c>
      <c r="Q45" s="20">
        <v>8469.4</v>
      </c>
      <c r="R45" s="1">
        <f t="shared" si="8"/>
        <v>107879.20000000001</v>
      </c>
      <c r="T45" s="1"/>
      <c r="V45" s="22"/>
    </row>
    <row r="46" spans="1:22" x14ac:dyDescent="0.45">
      <c r="A46" s="153">
        <f t="shared" si="1"/>
        <v>39</v>
      </c>
      <c r="B46" s="21" t="s">
        <v>124</v>
      </c>
      <c r="C46" s="153" t="s">
        <v>3</v>
      </c>
      <c r="D46" s="21">
        <v>1</v>
      </c>
      <c r="E46" s="153" t="s">
        <v>129</v>
      </c>
      <c r="F46" s="20">
        <v>635</v>
      </c>
      <c r="G46" s="20">
        <v>664.2</v>
      </c>
      <c r="H46" s="20">
        <v>1143.7</v>
      </c>
      <c r="I46" s="20">
        <v>2112.5</v>
      </c>
      <c r="J46" s="20">
        <v>2287.4</v>
      </c>
      <c r="K46" s="20">
        <v>1846.8</v>
      </c>
      <c r="L46" s="20">
        <v>3852.4</v>
      </c>
      <c r="M46" s="20">
        <v>3972.2</v>
      </c>
      <c r="N46" s="20">
        <v>2332.8000000000002</v>
      </c>
      <c r="O46" s="20">
        <v>557.29999999999995</v>
      </c>
      <c r="P46" s="20">
        <v>524.9</v>
      </c>
      <c r="Q46" s="20">
        <v>1419.1</v>
      </c>
      <c r="R46" s="1">
        <f t="shared" si="8"/>
        <v>21348.299999999996</v>
      </c>
      <c r="S46" s="90"/>
      <c r="T46" s="1"/>
      <c r="V46" s="22"/>
    </row>
    <row r="47" spans="1:22" x14ac:dyDescent="0.45">
      <c r="A47" s="153">
        <f t="shared" si="1"/>
        <v>40</v>
      </c>
      <c r="B47" s="21" t="s">
        <v>125</v>
      </c>
      <c r="C47" s="153" t="s">
        <v>3</v>
      </c>
      <c r="D47" s="21">
        <v>1</v>
      </c>
      <c r="E47" s="153" t="s">
        <v>129</v>
      </c>
      <c r="F47" s="20">
        <v>23684.400000000001</v>
      </c>
      <c r="G47" s="20">
        <v>17787.599999999999</v>
      </c>
      <c r="H47" s="20">
        <v>14774.4</v>
      </c>
      <c r="I47" s="20">
        <v>15940.8</v>
      </c>
      <c r="J47" s="20">
        <v>31525.200000000001</v>
      </c>
      <c r="K47" s="20">
        <v>32497.200000000001</v>
      </c>
      <c r="L47" s="20">
        <v>37810.800000000003</v>
      </c>
      <c r="M47" s="20">
        <v>32950.800000000003</v>
      </c>
      <c r="N47" s="20">
        <v>28447.200000000001</v>
      </c>
      <c r="O47" s="20">
        <v>21578.400000000001</v>
      </c>
      <c r="P47" s="20">
        <v>28252.799999999999</v>
      </c>
      <c r="Q47" s="20">
        <v>18046.8</v>
      </c>
      <c r="R47" s="1">
        <f t="shared" si="8"/>
        <v>303296.40000000002</v>
      </c>
      <c r="S47" s="90"/>
      <c r="T47" s="1"/>
      <c r="V47" s="22"/>
    </row>
    <row r="48" spans="1:22" x14ac:dyDescent="0.45">
      <c r="A48" s="153">
        <f t="shared" si="1"/>
        <v>41</v>
      </c>
      <c r="B48" s="21" t="s">
        <v>126</v>
      </c>
      <c r="C48" s="153" t="s">
        <v>3</v>
      </c>
      <c r="D48" s="21">
        <v>1</v>
      </c>
      <c r="E48" s="153" t="s">
        <v>129</v>
      </c>
      <c r="F48" s="20">
        <v>32379.1</v>
      </c>
      <c r="G48" s="20">
        <v>26826.799999999999</v>
      </c>
      <c r="H48" s="20">
        <v>22589.3</v>
      </c>
      <c r="I48" s="20">
        <v>22378.3</v>
      </c>
      <c r="J48" s="20">
        <v>39069.199999999997</v>
      </c>
      <c r="K48" s="20">
        <v>39468.5</v>
      </c>
      <c r="L48" s="20">
        <v>38843.1</v>
      </c>
      <c r="M48" s="20">
        <v>35859.599999999999</v>
      </c>
      <c r="N48" s="20">
        <v>30968.9</v>
      </c>
      <c r="O48" s="20">
        <v>28591.8</v>
      </c>
      <c r="P48" s="20">
        <v>25580.799999999999</v>
      </c>
      <c r="Q48" s="20">
        <v>25069.599999999999</v>
      </c>
      <c r="R48" s="1">
        <f t="shared" si="8"/>
        <v>367625</v>
      </c>
      <c r="S48" s="90"/>
      <c r="T48" s="1"/>
      <c r="V48" s="22"/>
    </row>
    <row r="49" spans="1:22" x14ac:dyDescent="0.45">
      <c r="A49" s="153">
        <f t="shared" si="1"/>
        <v>42</v>
      </c>
      <c r="B49" s="21" t="s">
        <v>844</v>
      </c>
      <c r="C49" s="153" t="s">
        <v>3</v>
      </c>
      <c r="D49" s="153"/>
      <c r="E49" s="153" t="s">
        <v>129</v>
      </c>
      <c r="F49" s="20">
        <v>0</v>
      </c>
      <c r="G49" s="20">
        <v>0</v>
      </c>
      <c r="H49" s="20">
        <v>8.6999999999999993</v>
      </c>
      <c r="I49" s="20">
        <v>0</v>
      </c>
      <c r="J49" s="20">
        <v>67.5</v>
      </c>
      <c r="K49" s="20">
        <v>27.7</v>
      </c>
      <c r="L49" s="20">
        <v>0</v>
      </c>
      <c r="M49" s="20">
        <v>0</v>
      </c>
      <c r="N49" s="20">
        <v>0</v>
      </c>
      <c r="O49" s="20">
        <v>0</v>
      </c>
      <c r="P49" s="20">
        <v>0</v>
      </c>
      <c r="Q49" s="20">
        <v>0</v>
      </c>
      <c r="R49" s="1">
        <f>SUM(F49:Q49)</f>
        <v>103.9</v>
      </c>
      <c r="T49" s="1"/>
      <c r="V49" s="22"/>
    </row>
    <row r="50" spans="1:22" x14ac:dyDescent="0.45">
      <c r="A50" s="153">
        <f t="shared" si="1"/>
        <v>43</v>
      </c>
      <c r="B50" s="21" t="s">
        <v>0</v>
      </c>
      <c r="F50" s="1">
        <f t="shared" ref="F50:P50" si="9">SUM(F33:F49)</f>
        <v>178807.2</v>
      </c>
      <c r="G50" s="1">
        <f t="shared" si="9"/>
        <v>148938.9</v>
      </c>
      <c r="H50" s="1">
        <f t="shared" si="9"/>
        <v>131218.20000000001</v>
      </c>
      <c r="I50" s="1">
        <f t="shared" si="9"/>
        <v>162987.49999999997</v>
      </c>
      <c r="J50" s="1">
        <f t="shared" si="9"/>
        <v>257391.7</v>
      </c>
      <c r="K50" s="1">
        <f t="shared" si="9"/>
        <v>255280.40000000002</v>
      </c>
      <c r="L50" s="1">
        <f t="shared" si="9"/>
        <v>287508.09999999998</v>
      </c>
      <c r="M50" s="1">
        <f t="shared" si="9"/>
        <v>266958.8</v>
      </c>
      <c r="N50" s="1">
        <f t="shared" si="9"/>
        <v>199911.4</v>
      </c>
      <c r="O50" s="1">
        <f t="shared" si="9"/>
        <v>145141.1</v>
      </c>
      <c r="P50" s="1">
        <f t="shared" si="9"/>
        <v>150848</v>
      </c>
      <c r="Q50" s="1">
        <f>SUM(Q33:Q49)</f>
        <v>151452.6</v>
      </c>
      <c r="R50" s="1">
        <f t="shared" si="8"/>
        <v>2336443.9</v>
      </c>
      <c r="S50" s="111"/>
      <c r="T50" s="1"/>
      <c r="V50" s="22"/>
    </row>
    <row r="51" spans="1:22" x14ac:dyDescent="0.45">
      <c r="A51" s="153">
        <f t="shared" si="1"/>
        <v>44</v>
      </c>
      <c r="B51" s="34" t="s">
        <v>752</v>
      </c>
      <c r="F51" s="22"/>
      <c r="G51" s="22"/>
      <c r="H51" s="22"/>
      <c r="I51" s="22"/>
      <c r="J51" s="22"/>
      <c r="K51" s="22"/>
      <c r="L51" s="22"/>
      <c r="M51" s="22"/>
      <c r="N51" s="22"/>
      <c r="O51" s="22"/>
      <c r="P51" s="22"/>
      <c r="Q51" s="22"/>
      <c r="R51" s="22">
        <f>SUM(F51:Q51)</f>
        <v>0</v>
      </c>
      <c r="T51" s="1"/>
      <c r="V51" s="22"/>
    </row>
    <row r="52" spans="1:22" x14ac:dyDescent="0.45">
      <c r="A52" s="153">
        <f t="shared" si="1"/>
        <v>45</v>
      </c>
      <c r="B52" s="21" t="s">
        <v>824</v>
      </c>
      <c r="C52" s="21" t="s">
        <v>3</v>
      </c>
      <c r="F52" s="25">
        <v>-560.70000000000005</v>
      </c>
      <c r="G52" s="25">
        <v>-13027.5</v>
      </c>
      <c r="H52" s="20">
        <v>-1134</v>
      </c>
      <c r="I52" s="20">
        <v>-11892.9</v>
      </c>
      <c r="J52" s="20">
        <v>-95.1</v>
      </c>
      <c r="K52" s="20">
        <v>-5133.3</v>
      </c>
      <c r="L52" s="20">
        <v>-782</v>
      </c>
      <c r="M52" s="20">
        <v>-653.6</v>
      </c>
      <c r="N52" s="20">
        <v>-3436.1</v>
      </c>
      <c r="O52" s="20">
        <v>-6737.4</v>
      </c>
      <c r="P52" s="20">
        <v>-16496.7</v>
      </c>
      <c r="Q52" s="20">
        <v>-10730.5</v>
      </c>
      <c r="R52" s="22">
        <f>SUM(F52:Q52)</f>
        <v>-70679.8</v>
      </c>
      <c r="T52" s="1"/>
      <c r="V52" s="22"/>
    </row>
    <row r="53" spans="1:22" x14ac:dyDescent="0.45">
      <c r="A53" s="153">
        <f t="shared" si="1"/>
        <v>46</v>
      </c>
      <c r="B53" s="21" t="s">
        <v>825</v>
      </c>
      <c r="C53" s="21" t="s">
        <v>3</v>
      </c>
      <c r="F53" s="22">
        <v>20000</v>
      </c>
      <c r="G53" s="22">
        <v>20000</v>
      </c>
      <c r="H53" s="22">
        <v>20000</v>
      </c>
      <c r="I53" s="22">
        <v>20000</v>
      </c>
      <c r="J53" s="22">
        <v>20000</v>
      </c>
      <c r="K53" s="22">
        <v>20000</v>
      </c>
      <c r="L53" s="22">
        <v>20000</v>
      </c>
      <c r="M53" s="22">
        <v>20000</v>
      </c>
      <c r="N53" s="22">
        <v>20000</v>
      </c>
      <c r="O53" s="22">
        <v>20000</v>
      </c>
      <c r="P53" s="22">
        <v>20000</v>
      </c>
      <c r="Q53" s="22">
        <v>20000</v>
      </c>
      <c r="R53" s="22">
        <f t="shared" ref="R53" si="10">SUM(F53:Q53)</f>
        <v>240000</v>
      </c>
      <c r="T53" s="1"/>
      <c r="V53" s="22"/>
    </row>
    <row r="54" spans="1:22" x14ac:dyDescent="0.45">
      <c r="A54" s="153">
        <f t="shared" si="1"/>
        <v>47</v>
      </c>
      <c r="B54" s="21" t="s">
        <v>127</v>
      </c>
      <c r="F54" s="22">
        <f>SUM(F50:F53)</f>
        <v>198246.5</v>
      </c>
      <c r="G54" s="22">
        <f t="shared" ref="G54:Q54" si="11">SUM(G50:G53)</f>
        <v>155911.4</v>
      </c>
      <c r="H54" s="22">
        <f t="shared" si="11"/>
        <v>150084.20000000001</v>
      </c>
      <c r="I54" s="22">
        <f t="shared" si="11"/>
        <v>171094.59999999998</v>
      </c>
      <c r="J54" s="22">
        <f t="shared" si="11"/>
        <v>277296.59999999998</v>
      </c>
      <c r="K54" s="22">
        <f t="shared" si="11"/>
        <v>270147.10000000003</v>
      </c>
      <c r="L54" s="22">
        <f t="shared" si="11"/>
        <v>306726.09999999998</v>
      </c>
      <c r="M54" s="22">
        <f t="shared" si="11"/>
        <v>286305.2</v>
      </c>
      <c r="N54" s="22">
        <f t="shared" si="11"/>
        <v>216475.3</v>
      </c>
      <c r="O54" s="22">
        <f t="shared" si="11"/>
        <v>158403.70000000001</v>
      </c>
      <c r="P54" s="22">
        <f t="shared" si="11"/>
        <v>154351.29999999999</v>
      </c>
      <c r="Q54" s="22">
        <f t="shared" si="11"/>
        <v>160722.1</v>
      </c>
      <c r="R54" s="22">
        <f t="shared" si="8"/>
        <v>2505764.1</v>
      </c>
      <c r="T54" s="1"/>
      <c r="V54" s="22"/>
    </row>
    <row r="55" spans="1:22" x14ac:dyDescent="0.45">
      <c r="A55" s="153">
        <f t="shared" si="1"/>
        <v>48</v>
      </c>
      <c r="T55" s="1"/>
      <c r="V55" s="22"/>
    </row>
    <row r="56" spans="1:22" x14ac:dyDescent="0.45">
      <c r="A56" s="153">
        <f t="shared" si="1"/>
        <v>49</v>
      </c>
      <c r="B56" s="16" t="s">
        <v>753</v>
      </c>
      <c r="C56" s="153"/>
      <c r="F56" s="1"/>
      <c r="G56" s="1"/>
      <c r="H56" s="1"/>
      <c r="I56" s="1"/>
      <c r="J56" s="1"/>
      <c r="K56" s="1"/>
      <c r="L56" s="1"/>
      <c r="M56" s="1"/>
      <c r="N56" s="1"/>
      <c r="O56" s="1"/>
      <c r="P56" s="1"/>
      <c r="Q56" s="1"/>
      <c r="R56" s="1"/>
      <c r="T56" s="1"/>
      <c r="V56" s="13"/>
    </row>
    <row r="57" spans="1:22" x14ac:dyDescent="0.45">
      <c r="A57" s="153">
        <f t="shared" si="1"/>
        <v>50</v>
      </c>
      <c r="C57" s="153" t="s">
        <v>3</v>
      </c>
      <c r="D57" s="21">
        <v>1</v>
      </c>
      <c r="E57" s="153"/>
      <c r="F57" s="20"/>
      <c r="G57" s="20"/>
      <c r="H57" s="20"/>
      <c r="I57" s="20"/>
      <c r="J57" s="20"/>
      <c r="K57" s="20"/>
      <c r="L57" s="20"/>
      <c r="M57" s="20"/>
      <c r="N57" s="20"/>
      <c r="O57" s="20"/>
      <c r="P57" s="20"/>
      <c r="Q57" s="20"/>
      <c r="R57" s="1">
        <f t="shared" ref="R57:R59" si="12">SUM(F57:Q57)</f>
        <v>0</v>
      </c>
      <c r="V57" s="22"/>
    </row>
    <row r="58" spans="1:22" x14ac:dyDescent="0.45">
      <c r="A58" s="153">
        <f t="shared" si="1"/>
        <v>51</v>
      </c>
      <c r="C58" s="153" t="s">
        <v>3</v>
      </c>
      <c r="D58" s="21">
        <v>1</v>
      </c>
      <c r="E58" s="153"/>
      <c r="F58" s="20"/>
      <c r="G58" s="20"/>
      <c r="H58" s="20"/>
      <c r="I58" s="20"/>
      <c r="J58" s="20"/>
      <c r="K58" s="20"/>
      <c r="L58" s="20"/>
      <c r="M58" s="20"/>
      <c r="N58" s="20"/>
      <c r="O58" s="20"/>
      <c r="P58" s="20"/>
      <c r="Q58" s="20"/>
      <c r="R58" s="1">
        <f t="shared" si="12"/>
        <v>0</v>
      </c>
      <c r="V58" s="22"/>
    </row>
    <row r="59" spans="1:22" x14ac:dyDescent="0.45">
      <c r="A59" s="153">
        <f t="shared" si="1"/>
        <v>52</v>
      </c>
      <c r="B59" s="21" t="s">
        <v>0</v>
      </c>
      <c r="F59" s="1">
        <f t="shared" ref="F59:Q59" si="13">SUM(F57:F58)</f>
        <v>0</v>
      </c>
      <c r="G59" s="1">
        <f t="shared" si="13"/>
        <v>0</v>
      </c>
      <c r="H59" s="1">
        <f t="shared" si="13"/>
        <v>0</v>
      </c>
      <c r="I59" s="1">
        <f t="shared" si="13"/>
        <v>0</v>
      </c>
      <c r="J59" s="1">
        <f t="shared" si="13"/>
        <v>0</v>
      </c>
      <c r="K59" s="1">
        <f t="shared" si="13"/>
        <v>0</v>
      </c>
      <c r="L59" s="1">
        <f t="shared" si="13"/>
        <v>0</v>
      </c>
      <c r="M59" s="1">
        <f t="shared" si="13"/>
        <v>0</v>
      </c>
      <c r="N59" s="1">
        <f t="shared" si="13"/>
        <v>0</v>
      </c>
      <c r="O59" s="1">
        <f t="shared" si="13"/>
        <v>0</v>
      </c>
      <c r="P59" s="1">
        <f t="shared" si="13"/>
        <v>0</v>
      </c>
      <c r="Q59" s="1">
        <f t="shared" si="13"/>
        <v>0</v>
      </c>
      <c r="R59" s="1">
        <f t="shared" si="12"/>
        <v>0</v>
      </c>
    </row>
    <row r="60" spans="1:22" x14ac:dyDescent="0.45">
      <c r="A60" s="153">
        <f t="shared" si="1"/>
        <v>53</v>
      </c>
      <c r="B60" s="21" t="s">
        <v>745</v>
      </c>
      <c r="F60" s="22"/>
      <c r="G60" s="22"/>
      <c r="H60" s="22"/>
      <c r="I60" s="22"/>
      <c r="J60" s="22"/>
      <c r="K60" s="22"/>
      <c r="L60" s="22"/>
      <c r="M60" s="22"/>
      <c r="N60" s="22"/>
      <c r="O60" s="22"/>
      <c r="P60" s="22"/>
      <c r="Q60" s="22"/>
      <c r="R60" s="22">
        <f>SUM(F60:Q60)</f>
        <v>0</v>
      </c>
    </row>
    <row r="61" spans="1:22" x14ac:dyDescent="0.45">
      <c r="A61" s="153">
        <f t="shared" si="1"/>
        <v>54</v>
      </c>
      <c r="B61" s="21" t="s">
        <v>127</v>
      </c>
      <c r="F61" s="22">
        <f>SUM(F59:F60)</f>
        <v>0</v>
      </c>
      <c r="G61" s="22">
        <f t="shared" ref="G61:Q61" si="14">SUM(G59:G60)</f>
        <v>0</v>
      </c>
      <c r="H61" s="22">
        <f t="shared" si="14"/>
        <v>0</v>
      </c>
      <c r="I61" s="22">
        <f t="shared" si="14"/>
        <v>0</v>
      </c>
      <c r="J61" s="22">
        <f t="shared" si="14"/>
        <v>0</v>
      </c>
      <c r="K61" s="22">
        <f t="shared" si="14"/>
        <v>0</v>
      </c>
      <c r="L61" s="22">
        <f t="shared" si="14"/>
        <v>0</v>
      </c>
      <c r="M61" s="22">
        <f t="shared" si="14"/>
        <v>0</v>
      </c>
      <c r="N61" s="22">
        <f t="shared" si="14"/>
        <v>0</v>
      </c>
      <c r="O61" s="22">
        <f t="shared" si="14"/>
        <v>0</v>
      </c>
      <c r="P61" s="22">
        <f t="shared" si="14"/>
        <v>0</v>
      </c>
      <c r="Q61" s="22">
        <f t="shared" si="14"/>
        <v>0</v>
      </c>
      <c r="R61" s="22">
        <f t="shared" ref="R61" si="15">SUM(F61:Q61)</f>
        <v>0</v>
      </c>
    </row>
    <row r="62" spans="1:22" x14ac:dyDescent="0.45">
      <c r="A62" s="153">
        <f t="shared" si="1"/>
        <v>55</v>
      </c>
    </row>
    <row r="63" spans="1:22" x14ac:dyDescent="0.45">
      <c r="A63" s="153">
        <f t="shared" si="1"/>
        <v>56</v>
      </c>
      <c r="B63" s="86" t="s">
        <v>781</v>
      </c>
      <c r="F63" s="1">
        <f t="shared" ref="F63:Q63" si="16">+F14+F29+F54+F61</f>
        <v>232650.1</v>
      </c>
      <c r="G63" s="1">
        <f t="shared" si="16"/>
        <v>189892</v>
      </c>
      <c r="H63" s="1">
        <f t="shared" si="16"/>
        <v>181571.7</v>
      </c>
      <c r="I63" s="1">
        <f t="shared" si="16"/>
        <v>202576.49999999997</v>
      </c>
      <c r="J63" s="1">
        <f t="shared" si="16"/>
        <v>313315.5</v>
      </c>
      <c r="K63" s="1">
        <f t="shared" si="16"/>
        <v>305495.2</v>
      </c>
      <c r="L63" s="1">
        <f t="shared" si="16"/>
        <v>341127.6</v>
      </c>
      <c r="M63" s="1">
        <f t="shared" si="16"/>
        <v>319799.3</v>
      </c>
      <c r="N63" s="1">
        <f t="shared" si="16"/>
        <v>249855.2</v>
      </c>
      <c r="O63" s="1">
        <f t="shared" si="16"/>
        <v>186265.1</v>
      </c>
      <c r="P63" s="1">
        <f t="shared" si="16"/>
        <v>185596.19999999998</v>
      </c>
      <c r="Q63" s="1">
        <f t="shared" si="16"/>
        <v>193794.1</v>
      </c>
      <c r="R63" s="22">
        <f>SUM(F63:Q63)</f>
        <v>2901938.5000000005</v>
      </c>
    </row>
    <row r="64" spans="1:22" x14ac:dyDescent="0.45">
      <c r="A64" s="153"/>
    </row>
    <row r="65" spans="1:1" x14ac:dyDescent="0.45">
      <c r="A65" s="153"/>
    </row>
    <row r="66" spans="1:1" x14ac:dyDescent="0.45">
      <c r="A66" s="153"/>
    </row>
    <row r="67" spans="1:1" x14ac:dyDescent="0.45">
      <c r="A67" s="153"/>
    </row>
    <row r="68" spans="1:1" x14ac:dyDescent="0.45">
      <c r="A68" s="153"/>
    </row>
  </sheetData>
  <mergeCells count="2">
    <mergeCell ref="B1:R1"/>
    <mergeCell ref="B2:R2"/>
  </mergeCells>
  <printOptions horizontalCentered="1"/>
  <pageMargins left="0.25" right="0.25" top="0.75" bottom="0.75" header="0.3" footer="0.3"/>
  <pageSetup scale="54" orientation="landscape" r:id="rId1"/>
  <headerFooter>
    <oddHeader>&amp;RSchedule J-1.0</oddHeader>
  </headerFooter>
  <ignoredErrors>
    <ignoredError sqref="F28:R2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6"/>
  <sheetViews>
    <sheetView topLeftCell="A10" zoomScaleNormal="100" workbookViewId="0">
      <selection activeCell="F10" sqref="F10"/>
    </sheetView>
  </sheetViews>
  <sheetFormatPr defaultColWidth="9.1328125" defaultRowHeight="14.25" x14ac:dyDescent="0.45"/>
  <cols>
    <col min="1" max="5" width="16.73046875" style="21" customWidth="1"/>
    <col min="6" max="6" width="110.73046875" style="21" customWidth="1"/>
    <col min="7" max="7" width="14.73046875" style="21" bestFit="1" customWidth="1"/>
    <col min="8" max="12" width="13.73046875" style="21" customWidth="1"/>
    <col min="13" max="13" width="10.73046875" style="21" customWidth="1"/>
    <col min="14" max="16384" width="9.1328125" style="21"/>
  </cols>
  <sheetData>
    <row r="1" spans="1:15" x14ac:dyDescent="0.45">
      <c r="A1" s="170" t="s">
        <v>27</v>
      </c>
      <c r="B1" s="170"/>
      <c r="C1" s="170"/>
      <c r="D1" s="170"/>
      <c r="E1" s="170"/>
      <c r="F1" s="170"/>
      <c r="G1" s="151"/>
      <c r="H1" s="151"/>
      <c r="I1" s="151"/>
      <c r="J1" s="151"/>
      <c r="K1" s="151"/>
      <c r="L1" s="151"/>
    </row>
    <row r="2" spans="1:15" x14ac:dyDescent="0.45">
      <c r="A2" s="170" t="s">
        <v>785</v>
      </c>
      <c r="B2" s="170"/>
      <c r="C2" s="170"/>
      <c r="D2" s="170"/>
      <c r="E2" s="170"/>
      <c r="F2" s="170"/>
      <c r="G2" s="151"/>
      <c r="H2" s="151"/>
      <c r="I2" s="151"/>
      <c r="J2" s="151"/>
      <c r="K2" s="151"/>
      <c r="L2" s="151"/>
    </row>
    <row r="4" spans="1:15" x14ac:dyDescent="0.45">
      <c r="D4" s="151"/>
      <c r="E4" s="151"/>
      <c r="F4" s="151"/>
      <c r="G4" s="151"/>
      <c r="H4" s="151"/>
      <c r="I4" s="151"/>
      <c r="J4" s="151"/>
      <c r="K4" s="151"/>
      <c r="L4" s="151"/>
    </row>
    <row r="5" spans="1:15" x14ac:dyDescent="0.45">
      <c r="A5" s="151" t="s">
        <v>817</v>
      </c>
      <c r="B5" s="151" t="s">
        <v>818</v>
      </c>
      <c r="C5" s="151" t="s">
        <v>819</v>
      </c>
      <c r="D5" s="151" t="s">
        <v>820</v>
      </c>
      <c r="E5" s="151" t="s">
        <v>829</v>
      </c>
      <c r="F5" s="151" t="s">
        <v>786</v>
      </c>
      <c r="H5" s="151"/>
      <c r="I5" s="170"/>
      <c r="J5" s="170"/>
      <c r="K5" s="170"/>
      <c r="L5" s="170"/>
    </row>
    <row r="6" spans="1:15" x14ac:dyDescent="0.45">
      <c r="A6" s="152" t="s">
        <v>822</v>
      </c>
      <c r="B6" s="152" t="s">
        <v>821</v>
      </c>
      <c r="C6" s="152" t="s">
        <v>813</v>
      </c>
      <c r="D6" s="152" t="s">
        <v>180</v>
      </c>
      <c r="E6" s="152" t="s">
        <v>180</v>
      </c>
      <c r="F6" s="152" t="s">
        <v>814</v>
      </c>
      <c r="H6" s="152"/>
      <c r="I6" s="171"/>
      <c r="J6" s="171"/>
      <c r="K6" s="171"/>
      <c r="L6" s="171"/>
    </row>
    <row r="7" spans="1:15" ht="42.75" x14ac:dyDescent="0.45">
      <c r="A7" s="116" t="s">
        <v>787</v>
      </c>
      <c r="B7" s="116" t="s">
        <v>788</v>
      </c>
      <c r="C7" s="116" t="s">
        <v>787</v>
      </c>
      <c r="D7" s="116" t="s">
        <v>788</v>
      </c>
      <c r="E7" s="137">
        <v>42845</v>
      </c>
      <c r="F7" s="115" t="s">
        <v>816</v>
      </c>
      <c r="G7" s="151"/>
      <c r="H7" s="151"/>
      <c r="I7" s="151"/>
      <c r="J7" s="151"/>
      <c r="K7" s="151"/>
      <c r="L7" s="151"/>
    </row>
    <row r="8" spans="1:15" ht="85.5" x14ac:dyDescent="0.45">
      <c r="A8" s="116" t="s">
        <v>789</v>
      </c>
      <c r="B8" s="116" t="s">
        <v>800</v>
      </c>
      <c r="C8" s="116" t="s">
        <v>791</v>
      </c>
      <c r="D8" s="116" t="s">
        <v>800</v>
      </c>
      <c r="E8" s="137">
        <v>42845</v>
      </c>
      <c r="F8" s="115" t="s">
        <v>830</v>
      </c>
      <c r="G8" s="151"/>
      <c r="H8" s="151"/>
      <c r="I8" s="151"/>
      <c r="J8" s="151"/>
      <c r="K8" s="151"/>
      <c r="L8" s="151"/>
    </row>
    <row r="9" spans="1:15" ht="85.5" x14ac:dyDescent="0.45">
      <c r="A9" s="116" t="s">
        <v>790</v>
      </c>
      <c r="B9" s="116" t="s">
        <v>801</v>
      </c>
      <c r="C9" s="117" t="s">
        <v>791</v>
      </c>
      <c r="D9" s="116" t="s">
        <v>800</v>
      </c>
      <c r="E9" s="137">
        <v>42845</v>
      </c>
      <c r="F9" s="115" t="s">
        <v>830</v>
      </c>
      <c r="G9" s="152"/>
      <c r="H9" s="152"/>
      <c r="I9" s="152"/>
      <c r="J9" s="152"/>
      <c r="K9" s="152"/>
      <c r="L9" s="152"/>
    </row>
    <row r="10" spans="1:15" ht="114" x14ac:dyDescent="0.45">
      <c r="A10" s="116" t="s">
        <v>792</v>
      </c>
      <c r="B10" s="116" t="s">
        <v>802</v>
      </c>
      <c r="C10" s="116" t="s">
        <v>793</v>
      </c>
      <c r="D10" s="116" t="s">
        <v>801</v>
      </c>
      <c r="E10" s="137">
        <v>42845</v>
      </c>
      <c r="F10" s="115" t="s">
        <v>831</v>
      </c>
    </row>
    <row r="11" spans="1:15" ht="114" x14ac:dyDescent="0.45">
      <c r="A11" s="116" t="s">
        <v>794</v>
      </c>
      <c r="B11" s="116" t="s">
        <v>803</v>
      </c>
      <c r="C11" s="116" t="s">
        <v>793</v>
      </c>
      <c r="D11" s="116" t="s">
        <v>801</v>
      </c>
      <c r="E11" s="137">
        <v>42845</v>
      </c>
      <c r="F11" s="115" t="s">
        <v>831</v>
      </c>
      <c r="G11" s="1"/>
      <c r="H11" s="1"/>
      <c r="I11" s="1"/>
      <c r="J11" s="1"/>
      <c r="K11" s="1"/>
      <c r="L11" s="1"/>
      <c r="M11" s="1"/>
    </row>
    <row r="12" spans="1:15" ht="42.75" x14ac:dyDescent="0.45">
      <c r="A12" s="116" t="s">
        <v>140</v>
      </c>
      <c r="B12" s="116" t="s">
        <v>804</v>
      </c>
      <c r="C12" s="116" t="s">
        <v>140</v>
      </c>
      <c r="D12" s="116" t="s">
        <v>802</v>
      </c>
      <c r="E12" s="137">
        <v>42845</v>
      </c>
      <c r="F12" s="115" t="s">
        <v>833</v>
      </c>
      <c r="G12" s="1"/>
      <c r="H12" s="1"/>
      <c r="I12" s="1"/>
      <c r="J12" s="1"/>
      <c r="K12" s="1"/>
      <c r="L12" s="1"/>
      <c r="N12" s="34"/>
      <c r="O12" s="34"/>
    </row>
    <row r="13" spans="1:15" x14ac:dyDescent="0.45">
      <c r="A13" s="116" t="s">
        <v>795</v>
      </c>
      <c r="B13" s="116" t="s">
        <v>805</v>
      </c>
      <c r="C13" s="116" t="s">
        <v>795</v>
      </c>
      <c r="D13" s="116" t="s">
        <v>803</v>
      </c>
      <c r="E13" s="137">
        <v>42845</v>
      </c>
      <c r="F13" s="115" t="s">
        <v>832</v>
      </c>
      <c r="G13" s="1"/>
      <c r="H13" s="1"/>
      <c r="I13" s="1"/>
      <c r="J13" s="1"/>
      <c r="K13" s="1"/>
      <c r="L13" s="1"/>
    </row>
    <row r="14" spans="1:15" ht="20.100000000000001" customHeight="1" x14ac:dyDescent="0.45">
      <c r="A14" s="116" t="s">
        <v>16</v>
      </c>
      <c r="B14" s="116" t="s">
        <v>806</v>
      </c>
      <c r="C14" s="116" t="s">
        <v>811</v>
      </c>
      <c r="D14" s="116" t="s">
        <v>811</v>
      </c>
      <c r="E14" s="137">
        <v>42845</v>
      </c>
      <c r="F14" s="115" t="s">
        <v>812</v>
      </c>
      <c r="G14" s="1"/>
      <c r="H14" s="1"/>
      <c r="I14" s="1"/>
      <c r="J14" s="1"/>
      <c r="K14" s="1"/>
      <c r="L14" s="1"/>
    </row>
    <row r="15" spans="1:15" ht="28.5" x14ac:dyDescent="0.45">
      <c r="A15" s="116" t="s">
        <v>796</v>
      </c>
      <c r="B15" s="116" t="s">
        <v>807</v>
      </c>
      <c r="C15" s="116" t="s">
        <v>796</v>
      </c>
      <c r="D15" s="116" t="s">
        <v>804</v>
      </c>
      <c r="E15" s="137">
        <v>42845</v>
      </c>
      <c r="F15" s="115" t="s">
        <v>827</v>
      </c>
      <c r="G15" s="1"/>
      <c r="H15" s="1"/>
      <c r="I15" s="1"/>
      <c r="J15" s="1"/>
      <c r="K15" s="1"/>
      <c r="L15" s="1"/>
    </row>
    <row r="16" spans="1:15" ht="20.100000000000001" customHeight="1" x14ac:dyDescent="0.45">
      <c r="A16" s="116" t="s">
        <v>797</v>
      </c>
      <c r="B16" s="116" t="s">
        <v>808</v>
      </c>
      <c r="C16" s="116" t="s">
        <v>797</v>
      </c>
      <c r="D16" s="116" t="s">
        <v>805</v>
      </c>
      <c r="E16" s="137">
        <v>42845</v>
      </c>
      <c r="F16" s="115" t="s">
        <v>815</v>
      </c>
      <c r="G16" s="1"/>
      <c r="H16" s="1"/>
      <c r="I16" s="1"/>
      <c r="J16" s="1"/>
      <c r="K16" s="1"/>
      <c r="L16" s="1"/>
    </row>
    <row r="17" spans="1:12" ht="20.100000000000001" customHeight="1" x14ac:dyDescent="0.45">
      <c r="A17" s="116" t="s">
        <v>798</v>
      </c>
      <c r="B17" s="116" t="s">
        <v>809</v>
      </c>
      <c r="C17" s="116" t="s">
        <v>798</v>
      </c>
      <c r="D17" s="116" t="s">
        <v>806</v>
      </c>
      <c r="E17" s="137">
        <v>42845</v>
      </c>
      <c r="F17" s="114" t="s">
        <v>823</v>
      </c>
      <c r="G17" s="1"/>
      <c r="H17" s="1"/>
      <c r="I17" s="1"/>
      <c r="J17" s="1"/>
      <c r="K17" s="1"/>
      <c r="L17" s="1"/>
    </row>
    <row r="18" spans="1:12" ht="20.100000000000001" customHeight="1" x14ac:dyDescent="0.45">
      <c r="A18" s="116" t="s">
        <v>1</v>
      </c>
      <c r="B18" s="116" t="s">
        <v>810</v>
      </c>
      <c r="C18" s="116" t="s">
        <v>1</v>
      </c>
      <c r="D18" s="116" t="s">
        <v>807</v>
      </c>
      <c r="E18" s="137">
        <v>42845</v>
      </c>
      <c r="F18" s="115" t="s">
        <v>815</v>
      </c>
      <c r="G18" s="1"/>
      <c r="H18" s="1"/>
      <c r="I18" s="1"/>
      <c r="J18" s="1"/>
      <c r="K18" s="1"/>
      <c r="L18" s="1"/>
    </row>
    <row r="19" spans="1:12" ht="42.75" x14ac:dyDescent="0.45">
      <c r="A19" s="116" t="s">
        <v>811</v>
      </c>
      <c r="B19" s="116" t="s">
        <v>811</v>
      </c>
      <c r="C19" s="116" t="s">
        <v>799</v>
      </c>
      <c r="D19" s="116" t="s">
        <v>808</v>
      </c>
      <c r="E19" s="137">
        <v>42845</v>
      </c>
      <c r="F19" s="115" t="s">
        <v>828</v>
      </c>
      <c r="G19" s="1"/>
      <c r="H19" s="1"/>
      <c r="I19" s="1"/>
      <c r="J19" s="1"/>
      <c r="K19" s="1"/>
      <c r="L19" s="1"/>
    </row>
    <row r="20" spans="1:12" x14ac:dyDescent="0.45">
      <c r="A20" s="116"/>
      <c r="B20" s="116"/>
      <c r="C20" s="116"/>
      <c r="D20" s="116"/>
      <c r="E20" s="137"/>
      <c r="F20" s="115"/>
      <c r="G20" s="1"/>
      <c r="H20" s="1"/>
      <c r="I20" s="1"/>
      <c r="J20" s="1"/>
      <c r="K20" s="1"/>
      <c r="L20" s="1"/>
    </row>
    <row r="21" spans="1:12" x14ac:dyDescent="0.45">
      <c r="A21" s="116"/>
      <c r="B21" s="116"/>
      <c r="C21" s="116" t="s">
        <v>791</v>
      </c>
      <c r="D21" s="116" t="s">
        <v>800</v>
      </c>
      <c r="E21" s="137">
        <v>42912</v>
      </c>
      <c r="F21" s="115" t="s">
        <v>852</v>
      </c>
      <c r="G21" s="1"/>
      <c r="H21" s="1"/>
      <c r="I21" s="1"/>
      <c r="J21" s="1"/>
      <c r="K21" s="1"/>
      <c r="L21" s="1"/>
    </row>
    <row r="22" spans="1:12" ht="42.75" x14ac:dyDescent="0.45">
      <c r="A22" s="116"/>
      <c r="B22" s="116"/>
      <c r="C22" s="116" t="s">
        <v>853</v>
      </c>
      <c r="D22" s="116" t="s">
        <v>801</v>
      </c>
      <c r="E22" s="137">
        <v>42912</v>
      </c>
      <c r="F22" s="115" t="s">
        <v>854</v>
      </c>
      <c r="G22" s="1"/>
      <c r="H22" s="1"/>
      <c r="I22" s="1"/>
      <c r="J22" s="1"/>
      <c r="K22" s="1"/>
      <c r="L22" s="1"/>
    </row>
    <row r="23" spans="1:12" ht="28.5" x14ac:dyDescent="0.45">
      <c r="A23" s="116"/>
      <c r="B23" s="116"/>
      <c r="C23" s="116" t="s">
        <v>853</v>
      </c>
      <c r="D23" s="116" t="s">
        <v>801</v>
      </c>
      <c r="E23" s="137">
        <v>42912</v>
      </c>
      <c r="F23" s="115" t="s">
        <v>855</v>
      </c>
      <c r="G23" s="1"/>
      <c r="H23" s="1"/>
      <c r="I23" s="1"/>
      <c r="J23" s="1"/>
      <c r="K23" s="1"/>
      <c r="L23" s="1"/>
    </row>
    <row r="24" spans="1:12" ht="28.5" x14ac:dyDescent="0.45">
      <c r="A24" s="116"/>
      <c r="B24" s="116"/>
      <c r="C24" s="116" t="s">
        <v>140</v>
      </c>
      <c r="D24" s="116" t="s">
        <v>802</v>
      </c>
      <c r="E24" s="137">
        <v>42912</v>
      </c>
      <c r="F24" s="115" t="s">
        <v>856</v>
      </c>
      <c r="G24" s="1"/>
      <c r="H24" s="1"/>
      <c r="I24" s="1"/>
      <c r="J24" s="1"/>
      <c r="K24" s="1"/>
      <c r="L24" s="1"/>
    </row>
    <row r="25" spans="1:12" x14ac:dyDescent="0.45">
      <c r="A25" s="116"/>
      <c r="B25" s="116"/>
      <c r="C25" s="116"/>
      <c r="D25" s="116"/>
      <c r="E25" s="137"/>
      <c r="F25" s="115"/>
      <c r="H25" s="22"/>
      <c r="I25" s="22"/>
      <c r="J25" s="22"/>
      <c r="K25" s="22"/>
      <c r="L25" s="22"/>
    </row>
    <row r="26" spans="1:12" x14ac:dyDescent="0.45">
      <c r="A26" s="116"/>
      <c r="B26" s="116"/>
      <c r="C26" s="116"/>
      <c r="D26" s="116"/>
      <c r="E26" s="137"/>
      <c r="F26" s="115"/>
      <c r="H26" s="22"/>
      <c r="I26" s="22"/>
      <c r="J26" s="22"/>
      <c r="K26" s="22"/>
      <c r="L26" s="22"/>
    </row>
    <row r="27" spans="1:12" x14ac:dyDescent="0.45">
      <c r="A27" s="116"/>
      <c r="B27" s="116"/>
      <c r="C27" s="116"/>
      <c r="D27" s="116"/>
      <c r="E27" s="137"/>
      <c r="F27" s="115"/>
    </row>
    <row r="28" spans="1:12" x14ac:dyDescent="0.45">
      <c r="A28" s="116"/>
      <c r="B28" s="116"/>
      <c r="C28" s="116"/>
      <c r="D28" s="116"/>
      <c r="E28" s="137"/>
      <c r="F28" s="115"/>
      <c r="H28" s="1"/>
      <c r="I28" s="1"/>
      <c r="J28" s="1"/>
      <c r="K28" s="1"/>
      <c r="L28" s="1"/>
    </row>
    <row r="29" spans="1:12" x14ac:dyDescent="0.45">
      <c r="A29" s="116"/>
      <c r="B29" s="116"/>
      <c r="C29" s="116"/>
      <c r="D29" s="116"/>
      <c r="E29" s="137"/>
      <c r="F29" s="115"/>
      <c r="H29" s="1"/>
      <c r="I29" s="1"/>
      <c r="J29" s="1"/>
      <c r="K29" s="1"/>
      <c r="L29" s="1"/>
    </row>
    <row r="30" spans="1:12" x14ac:dyDescent="0.45">
      <c r="A30" s="116"/>
      <c r="B30" s="116"/>
      <c r="C30" s="116"/>
      <c r="D30" s="116"/>
      <c r="E30" s="137"/>
      <c r="F30" s="115"/>
      <c r="H30" s="1"/>
      <c r="I30" s="1"/>
      <c r="J30" s="1"/>
      <c r="K30" s="1"/>
      <c r="L30" s="1"/>
    </row>
    <row r="31" spans="1:12" x14ac:dyDescent="0.45">
      <c r="A31" s="116"/>
      <c r="B31" s="116"/>
      <c r="C31" s="116"/>
      <c r="D31" s="116"/>
      <c r="E31" s="137"/>
      <c r="F31" s="115"/>
      <c r="H31" s="1"/>
      <c r="I31" s="1"/>
      <c r="J31" s="1"/>
      <c r="K31" s="1"/>
      <c r="L31" s="1"/>
    </row>
    <row r="32" spans="1:12" x14ac:dyDescent="0.45">
      <c r="A32" s="116"/>
      <c r="B32" s="116"/>
      <c r="C32" s="116"/>
      <c r="D32" s="116"/>
      <c r="E32" s="137"/>
      <c r="F32" s="115"/>
      <c r="H32" s="18"/>
      <c r="I32" s="18"/>
      <c r="J32" s="18"/>
      <c r="K32" s="18"/>
      <c r="L32" s="18"/>
    </row>
    <row r="33" spans="1:12" x14ac:dyDescent="0.45">
      <c r="A33" s="116"/>
      <c r="B33" s="116"/>
      <c r="C33" s="116"/>
      <c r="D33" s="116"/>
      <c r="E33" s="137"/>
      <c r="F33" s="115"/>
      <c r="H33" s="18"/>
      <c r="I33" s="18"/>
      <c r="J33" s="18"/>
      <c r="K33" s="18"/>
      <c r="L33" s="18"/>
    </row>
    <row r="34" spans="1:12" x14ac:dyDescent="0.45">
      <c r="A34" s="116"/>
      <c r="B34" s="116"/>
      <c r="C34" s="116"/>
      <c r="D34" s="116"/>
      <c r="E34" s="137"/>
      <c r="F34" s="115"/>
      <c r="H34" s="80"/>
      <c r="I34" s="80"/>
      <c r="J34" s="80"/>
      <c r="K34" s="80"/>
      <c r="L34" s="80"/>
    </row>
    <row r="35" spans="1:12" x14ac:dyDescent="0.45">
      <c r="A35" s="116"/>
      <c r="B35" s="116"/>
      <c r="C35" s="116"/>
      <c r="D35" s="116"/>
      <c r="E35" s="137"/>
      <c r="F35" s="115"/>
      <c r="H35" s="80"/>
      <c r="I35" s="80"/>
      <c r="J35" s="80"/>
      <c r="K35" s="80"/>
      <c r="L35" s="80"/>
    </row>
    <row r="36" spans="1:12" x14ac:dyDescent="0.45">
      <c r="A36" s="116"/>
      <c r="B36" s="116"/>
      <c r="C36" s="116"/>
      <c r="D36" s="116"/>
      <c r="E36" s="137"/>
      <c r="F36" s="115"/>
      <c r="H36" s="80"/>
      <c r="I36" s="80"/>
      <c r="J36" s="80"/>
      <c r="K36" s="80"/>
      <c r="L36" s="80"/>
    </row>
    <row r="37" spans="1:12" x14ac:dyDescent="0.45">
      <c r="A37" s="116"/>
      <c r="B37" s="116"/>
      <c r="C37" s="116"/>
      <c r="D37" s="116"/>
      <c r="E37" s="137"/>
      <c r="F37" s="115"/>
    </row>
    <row r="38" spans="1:12" x14ac:dyDescent="0.45">
      <c r="A38" s="116"/>
      <c r="B38" s="116"/>
      <c r="C38" s="116"/>
      <c r="D38" s="116"/>
      <c r="E38" s="137"/>
      <c r="F38" s="115"/>
    </row>
    <row r="39" spans="1:12" x14ac:dyDescent="0.45">
      <c r="A39" s="116"/>
      <c r="B39" s="116"/>
      <c r="C39" s="116"/>
      <c r="D39" s="116"/>
      <c r="E39" s="137"/>
      <c r="F39" s="115"/>
      <c r="G39" s="1"/>
      <c r="H39" s="1"/>
      <c r="I39" s="1"/>
      <c r="J39" s="1"/>
      <c r="K39" s="18"/>
      <c r="L39" s="1"/>
    </row>
    <row r="40" spans="1:12" x14ac:dyDescent="0.45">
      <c r="A40" s="116"/>
      <c r="B40" s="116"/>
      <c r="C40" s="116"/>
      <c r="D40" s="116"/>
      <c r="E40" s="137"/>
      <c r="F40" s="115"/>
      <c r="G40" s="1"/>
      <c r="H40" s="1"/>
      <c r="I40" s="1"/>
      <c r="J40" s="1"/>
      <c r="K40" s="18"/>
      <c r="L40" s="1"/>
    </row>
    <row r="41" spans="1:12" x14ac:dyDescent="0.45">
      <c r="G41" s="22"/>
      <c r="H41" s="22"/>
      <c r="I41" s="22"/>
      <c r="J41" s="22"/>
      <c r="K41" s="80"/>
      <c r="L41" s="22"/>
    </row>
    <row r="42" spans="1:12" x14ac:dyDescent="0.45">
      <c r="K42" s="80"/>
    </row>
    <row r="43" spans="1:12" x14ac:dyDescent="0.45">
      <c r="K43" s="80"/>
    </row>
    <row r="44" spans="1:12" x14ac:dyDescent="0.45">
      <c r="G44" s="1"/>
      <c r="H44" s="1"/>
      <c r="I44" s="1"/>
      <c r="J44" s="1"/>
      <c r="K44" s="1"/>
      <c r="L44" s="1"/>
    </row>
    <row r="45" spans="1:12" x14ac:dyDescent="0.45">
      <c r="G45" s="1"/>
      <c r="H45" s="1"/>
      <c r="I45" s="1"/>
      <c r="J45" s="1"/>
      <c r="K45" s="1"/>
      <c r="L45" s="1"/>
    </row>
    <row r="46" spans="1:12" x14ac:dyDescent="0.45">
      <c r="G46" s="22"/>
      <c r="H46" s="22"/>
      <c r="I46" s="22"/>
      <c r="J46" s="22"/>
      <c r="K46" s="22"/>
      <c r="L46" s="22"/>
    </row>
  </sheetData>
  <mergeCells count="4">
    <mergeCell ref="A1:F1"/>
    <mergeCell ref="A2:F2"/>
    <mergeCell ref="I5:L5"/>
    <mergeCell ref="I6:L6"/>
  </mergeCells>
  <printOptions horizontalCentered="1"/>
  <pageMargins left="0.25" right="0.25" top="0.75" bottom="0.75" header="0.3" footer="0.3"/>
  <pageSetup scale="67" orientation="landscape" r:id="rId1"/>
  <headerFooter>
    <oddFooter>&amp;RPage &amp;P of &amp;N</oddFooter>
  </headerFooter>
  <rowBreaks count="1" manualBreakCount="1">
    <brk id="1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784D-9BCC-4A73-AD26-44F7FE3441A6}">
  <dimension ref="A1:R27"/>
  <sheetViews>
    <sheetView workbookViewId="0">
      <selection activeCell="F29" sqref="F29"/>
    </sheetView>
  </sheetViews>
  <sheetFormatPr defaultRowHeight="14.25" x14ac:dyDescent="0.45"/>
  <cols>
    <col min="2" max="2" width="13.73046875" customWidth="1"/>
    <col min="3" max="3" width="16.86328125" bestFit="1" customWidth="1"/>
    <col min="4" max="4" width="17.59765625" bestFit="1" customWidth="1"/>
  </cols>
  <sheetData>
    <row r="1" spans="1:18" x14ac:dyDescent="0.45">
      <c r="B1" s="170" t="s">
        <v>27</v>
      </c>
      <c r="C1" s="170"/>
      <c r="D1" s="170"/>
      <c r="E1" s="170"/>
      <c r="F1" s="169"/>
      <c r="G1" s="169"/>
      <c r="H1" s="169"/>
      <c r="I1" s="169"/>
      <c r="J1" s="169"/>
      <c r="K1" s="169"/>
      <c r="L1" s="169"/>
      <c r="M1" s="169"/>
      <c r="N1" s="169"/>
      <c r="O1" s="169"/>
      <c r="P1" s="169"/>
      <c r="Q1" s="169"/>
      <c r="R1" s="169"/>
    </row>
    <row r="2" spans="1:18" x14ac:dyDescent="0.45">
      <c r="B2" s="170" t="s">
        <v>863</v>
      </c>
      <c r="C2" s="170"/>
      <c r="D2" s="170"/>
      <c r="E2" s="170"/>
      <c r="F2" s="169"/>
      <c r="G2" s="169"/>
      <c r="H2" s="169"/>
      <c r="I2" s="169"/>
      <c r="J2" s="169"/>
      <c r="K2" s="169"/>
      <c r="L2" s="169"/>
      <c r="M2" s="169"/>
      <c r="N2" s="169"/>
      <c r="O2" s="169"/>
      <c r="P2" s="169"/>
      <c r="Q2" s="169"/>
      <c r="R2" s="169"/>
    </row>
    <row r="3" spans="1:18" x14ac:dyDescent="0.45">
      <c r="B3" s="21"/>
      <c r="C3" s="21"/>
      <c r="D3" s="21"/>
      <c r="E3" s="21"/>
      <c r="F3" s="21"/>
      <c r="G3" s="21"/>
      <c r="H3" s="21"/>
      <c r="I3" s="21"/>
      <c r="J3" s="21"/>
      <c r="K3" s="21"/>
      <c r="L3" s="21"/>
      <c r="M3" s="21"/>
      <c r="N3" s="21"/>
      <c r="O3" s="21"/>
      <c r="P3" s="21"/>
      <c r="Q3" s="21"/>
      <c r="R3" s="21"/>
    </row>
    <row r="4" spans="1:18" x14ac:dyDescent="0.45">
      <c r="B4" s="14" t="s">
        <v>836</v>
      </c>
      <c r="C4" s="21"/>
      <c r="D4" s="21"/>
      <c r="E4" s="21"/>
      <c r="F4" s="21"/>
      <c r="G4" s="21"/>
      <c r="H4" s="21"/>
      <c r="I4" s="21"/>
      <c r="J4" s="21"/>
      <c r="K4" s="21"/>
      <c r="L4" s="21"/>
      <c r="M4" s="21"/>
      <c r="N4" s="21"/>
      <c r="O4" s="21"/>
      <c r="P4" s="21"/>
      <c r="Q4" s="21"/>
      <c r="R4" s="21"/>
    </row>
    <row r="6" spans="1:18" x14ac:dyDescent="0.45">
      <c r="C6" s="42" t="s">
        <v>509</v>
      </c>
      <c r="D6" s="42" t="s">
        <v>510</v>
      </c>
      <c r="E6" s="42"/>
      <c r="F6" s="42"/>
    </row>
    <row r="7" spans="1:18" x14ac:dyDescent="0.45">
      <c r="C7" s="42">
        <v>407.3</v>
      </c>
      <c r="D7" s="42">
        <v>407.4</v>
      </c>
      <c r="E7" s="42"/>
      <c r="F7" s="42"/>
    </row>
    <row r="8" spans="1:18" x14ac:dyDescent="0.45">
      <c r="C8" s="101" t="s">
        <v>864</v>
      </c>
      <c r="D8" s="101" t="s">
        <v>865</v>
      </c>
      <c r="E8" s="101"/>
      <c r="F8" s="101"/>
    </row>
    <row r="9" spans="1:18" x14ac:dyDescent="0.45">
      <c r="C9" s="103" t="s">
        <v>145</v>
      </c>
      <c r="D9" s="103" t="s">
        <v>145</v>
      </c>
      <c r="E9" s="103"/>
      <c r="F9" s="103"/>
    </row>
    <row r="10" spans="1:18" x14ac:dyDescent="0.45">
      <c r="A10" s="164">
        <v>1</v>
      </c>
      <c r="B10" s="59" t="s">
        <v>169</v>
      </c>
      <c r="C10" s="167">
        <v>0</v>
      </c>
      <c r="D10" s="167">
        <v>0</v>
      </c>
    </row>
    <row r="11" spans="1:18" x14ac:dyDescent="0.45">
      <c r="A11" s="164">
        <f>A10+1</f>
        <v>2</v>
      </c>
      <c r="B11" s="59" t="s">
        <v>22</v>
      </c>
      <c r="C11" s="167">
        <v>42921.24</v>
      </c>
      <c r="D11" s="167">
        <v>0</v>
      </c>
    </row>
    <row r="12" spans="1:18" x14ac:dyDescent="0.45">
      <c r="A12" s="164">
        <f t="shared" ref="A12:A27" si="0">A11+1</f>
        <v>3</v>
      </c>
      <c r="B12" s="59" t="s">
        <v>21</v>
      </c>
      <c r="C12" s="167">
        <v>25038.09</v>
      </c>
      <c r="D12" s="167">
        <v>0</v>
      </c>
    </row>
    <row r="13" spans="1:18" x14ac:dyDescent="0.45">
      <c r="A13" s="164">
        <f t="shared" si="0"/>
        <v>4</v>
      </c>
      <c r="B13" s="59" t="s">
        <v>20</v>
      </c>
      <c r="C13" s="167">
        <v>23627.62</v>
      </c>
      <c r="D13" s="167">
        <v>0</v>
      </c>
    </row>
    <row r="14" spans="1:18" x14ac:dyDescent="0.45">
      <c r="A14" s="164">
        <f t="shared" si="0"/>
        <v>5</v>
      </c>
      <c r="B14" s="59" t="s">
        <v>170</v>
      </c>
      <c r="C14" s="167">
        <v>0</v>
      </c>
      <c r="D14" s="167">
        <v>0</v>
      </c>
    </row>
    <row r="15" spans="1:18" x14ac:dyDescent="0.45">
      <c r="A15" s="164">
        <f t="shared" si="0"/>
        <v>6</v>
      </c>
      <c r="B15" s="59" t="s">
        <v>19</v>
      </c>
      <c r="C15" s="167">
        <v>21279.65</v>
      </c>
      <c r="D15" s="167">
        <v>0</v>
      </c>
    </row>
    <row r="16" spans="1:18" x14ac:dyDescent="0.45">
      <c r="A16" s="164">
        <f t="shared" si="0"/>
        <v>7</v>
      </c>
      <c r="B16" s="59" t="s">
        <v>235</v>
      </c>
      <c r="C16" s="167">
        <v>0</v>
      </c>
      <c r="D16" s="167">
        <v>0</v>
      </c>
    </row>
    <row r="17" spans="1:4" x14ac:dyDescent="0.45">
      <c r="A17" s="164">
        <f t="shared" si="0"/>
        <v>8</v>
      </c>
      <c r="B17" s="59" t="s">
        <v>517</v>
      </c>
      <c r="C17" s="167">
        <v>0</v>
      </c>
      <c r="D17" s="167">
        <v>0</v>
      </c>
    </row>
    <row r="18" spans="1:4" x14ac:dyDescent="0.45">
      <c r="A18" s="164">
        <f t="shared" si="0"/>
        <v>9</v>
      </c>
      <c r="B18" s="59" t="s">
        <v>522</v>
      </c>
      <c r="C18" s="167">
        <v>0</v>
      </c>
      <c r="D18" s="167">
        <v>0</v>
      </c>
    </row>
    <row r="19" spans="1:4" x14ac:dyDescent="0.45">
      <c r="A19" s="164">
        <f t="shared" si="0"/>
        <v>10</v>
      </c>
      <c r="B19" s="59" t="s">
        <v>518</v>
      </c>
      <c r="C19" s="167">
        <v>0</v>
      </c>
      <c r="D19" s="167">
        <v>0</v>
      </c>
    </row>
    <row r="20" spans="1:4" x14ac:dyDescent="0.45">
      <c r="A20" s="164">
        <f t="shared" si="0"/>
        <v>11</v>
      </c>
      <c r="B20" s="59" t="s">
        <v>519</v>
      </c>
      <c r="C20" s="167">
        <v>0</v>
      </c>
      <c r="D20" s="167">
        <v>0</v>
      </c>
    </row>
    <row r="21" spans="1:4" x14ac:dyDescent="0.45">
      <c r="A21" s="164">
        <f t="shared" si="0"/>
        <v>12</v>
      </c>
      <c r="B21" s="59" t="s">
        <v>36</v>
      </c>
      <c r="C21" s="167">
        <v>0</v>
      </c>
      <c r="D21" s="167">
        <v>-28453.7</v>
      </c>
    </row>
    <row r="22" spans="1:4" x14ac:dyDescent="0.45">
      <c r="A22" s="164">
        <f t="shared" si="0"/>
        <v>13</v>
      </c>
      <c r="B22" s="59" t="s">
        <v>520</v>
      </c>
      <c r="C22" s="167">
        <v>0</v>
      </c>
      <c r="D22" s="167">
        <v>0</v>
      </c>
    </row>
    <row r="23" spans="1:4" x14ac:dyDescent="0.45">
      <c r="A23" s="164">
        <f t="shared" si="0"/>
        <v>14</v>
      </c>
      <c r="B23" s="59" t="s">
        <v>171</v>
      </c>
      <c r="C23" s="167">
        <v>0</v>
      </c>
      <c r="D23" s="167">
        <v>0</v>
      </c>
    </row>
    <row r="24" spans="1:4" x14ac:dyDescent="0.45">
      <c r="A24" s="164">
        <f t="shared" si="0"/>
        <v>15</v>
      </c>
      <c r="B24" s="59" t="s">
        <v>507</v>
      </c>
      <c r="C24" s="167">
        <v>7079.69</v>
      </c>
      <c r="D24" s="167">
        <v>0</v>
      </c>
    </row>
    <row r="25" spans="1:4" x14ac:dyDescent="0.45">
      <c r="A25" s="164">
        <f t="shared" si="0"/>
        <v>16</v>
      </c>
      <c r="B25" s="59" t="s">
        <v>521</v>
      </c>
      <c r="C25" s="167">
        <v>0</v>
      </c>
      <c r="D25" s="167">
        <v>0</v>
      </c>
    </row>
    <row r="26" spans="1:4" x14ac:dyDescent="0.45">
      <c r="A26" s="164">
        <f t="shared" si="0"/>
        <v>17</v>
      </c>
      <c r="B26" s="127" t="s">
        <v>753</v>
      </c>
      <c r="C26" s="168">
        <v>0</v>
      </c>
      <c r="D26" s="168">
        <v>0</v>
      </c>
    </row>
    <row r="27" spans="1:4" x14ac:dyDescent="0.45">
      <c r="A27" s="164">
        <f t="shared" si="0"/>
        <v>18</v>
      </c>
      <c r="B27" s="59" t="s">
        <v>0</v>
      </c>
      <c r="C27" s="166">
        <f>SUM(C10:C26)</f>
        <v>119946.29000000001</v>
      </c>
      <c r="D27" s="166">
        <f>SUM(D10:D26)</f>
        <v>-28453.7</v>
      </c>
    </row>
  </sheetData>
  <mergeCells count="2">
    <mergeCell ref="B1:E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zoomScaleNormal="100" workbookViewId="0">
      <selection activeCell="K33" sqref="K33"/>
    </sheetView>
  </sheetViews>
  <sheetFormatPr defaultColWidth="9.1328125" defaultRowHeight="14.25" x14ac:dyDescent="0.45"/>
  <cols>
    <col min="1" max="1" width="4.3984375" style="21" customWidth="1"/>
    <col min="2" max="2" width="29.86328125" style="21" bestFit="1" customWidth="1"/>
    <col min="3" max="3" width="33.3984375" style="21" customWidth="1"/>
    <col min="4" max="4" width="11.3984375" style="21" bestFit="1" customWidth="1"/>
    <col min="5" max="5" width="14.73046875" style="21" bestFit="1" customWidth="1"/>
    <col min="6" max="6" width="3.86328125" style="21" customWidth="1"/>
    <col min="7" max="7" width="14.73046875" style="21" bestFit="1" customWidth="1"/>
    <col min="8" max="12" width="13.73046875" style="21" customWidth="1"/>
    <col min="13" max="13" width="10.73046875" style="21" customWidth="1"/>
    <col min="14" max="14" width="10.59765625" style="21" bestFit="1" customWidth="1"/>
    <col min="15" max="16384" width="9.1328125" style="21"/>
  </cols>
  <sheetData>
    <row r="1" spans="1:15" x14ac:dyDescent="0.45">
      <c r="B1" s="170" t="s">
        <v>27</v>
      </c>
      <c r="C1" s="170"/>
      <c r="D1" s="170"/>
      <c r="E1" s="170"/>
      <c r="F1" s="170"/>
      <c r="G1" s="170"/>
      <c r="H1" s="170"/>
      <c r="I1" s="170"/>
      <c r="J1" s="170"/>
      <c r="K1" s="170"/>
      <c r="L1" s="95"/>
    </row>
    <row r="2" spans="1:15" x14ac:dyDescent="0.45">
      <c r="B2" s="170" t="s">
        <v>153</v>
      </c>
      <c r="C2" s="170"/>
      <c r="D2" s="170"/>
      <c r="E2" s="170"/>
      <c r="F2" s="170"/>
      <c r="G2" s="170"/>
      <c r="H2" s="170"/>
      <c r="I2" s="170"/>
      <c r="J2" s="170"/>
      <c r="K2" s="170"/>
      <c r="L2" s="95"/>
    </row>
    <row r="4" spans="1:15" x14ac:dyDescent="0.45">
      <c r="E4" s="77" t="s">
        <v>509</v>
      </c>
      <c r="F4" s="77"/>
      <c r="G4" s="77" t="s">
        <v>510</v>
      </c>
      <c r="H4" s="77" t="s">
        <v>511</v>
      </c>
      <c r="I4" s="77" t="s">
        <v>512</v>
      </c>
      <c r="J4" s="77" t="s">
        <v>513</v>
      </c>
      <c r="K4" s="77" t="s">
        <v>514</v>
      </c>
      <c r="L4" s="95" t="s">
        <v>515</v>
      </c>
    </row>
    <row r="5" spans="1:15" x14ac:dyDescent="0.45">
      <c r="H5" s="77"/>
      <c r="I5" s="170" t="s">
        <v>152</v>
      </c>
      <c r="J5" s="170"/>
      <c r="K5" s="170"/>
      <c r="L5" s="170"/>
    </row>
    <row r="6" spans="1:15" x14ac:dyDescent="0.45">
      <c r="H6" s="15"/>
      <c r="I6" s="171" t="s">
        <v>775</v>
      </c>
      <c r="J6" s="171"/>
      <c r="K6" s="171"/>
      <c r="L6" s="171"/>
    </row>
    <row r="7" spans="1:15" x14ac:dyDescent="0.45">
      <c r="E7" s="77" t="s">
        <v>0</v>
      </c>
      <c r="F7" s="77"/>
      <c r="G7" s="77"/>
      <c r="H7" s="77" t="s">
        <v>0</v>
      </c>
      <c r="I7" s="77"/>
      <c r="J7" s="77"/>
      <c r="K7" s="77"/>
      <c r="L7" s="95"/>
    </row>
    <row r="8" spans="1:15" x14ac:dyDescent="0.45">
      <c r="C8" s="21" t="s">
        <v>179</v>
      </c>
      <c r="E8" s="77" t="s">
        <v>24</v>
      </c>
      <c r="F8" s="77"/>
      <c r="G8" s="77" t="s">
        <v>98</v>
      </c>
      <c r="H8" s="77" t="s">
        <v>151</v>
      </c>
      <c r="I8" s="77" t="s">
        <v>22</v>
      </c>
      <c r="J8" s="77" t="s">
        <v>19</v>
      </c>
      <c r="K8" s="77" t="s">
        <v>36</v>
      </c>
      <c r="L8" s="95" t="s">
        <v>753</v>
      </c>
    </row>
    <row r="9" spans="1:15" x14ac:dyDescent="0.45">
      <c r="C9" s="24" t="s">
        <v>180</v>
      </c>
      <c r="E9" s="15" t="s">
        <v>97</v>
      </c>
      <c r="F9" s="15"/>
      <c r="G9" s="15" t="s">
        <v>97</v>
      </c>
      <c r="H9" s="15" t="s">
        <v>97</v>
      </c>
      <c r="I9" s="15" t="s">
        <v>97</v>
      </c>
      <c r="J9" s="15" t="s">
        <v>97</v>
      </c>
      <c r="K9" s="108" t="s">
        <v>100</v>
      </c>
      <c r="L9" s="96" t="s">
        <v>97</v>
      </c>
    </row>
    <row r="11" spans="1:15" x14ac:dyDescent="0.45">
      <c r="A11" s="21">
        <v>1</v>
      </c>
      <c r="B11" s="21" t="s">
        <v>523</v>
      </c>
      <c r="C11" s="21" t="str">
        <f>CONCATENATE(Expenses!$AT$6, ", Line ",Expenses!A29)</f>
        <v>Schedule C-1.0, Line 21</v>
      </c>
      <c r="D11" s="77" t="s">
        <v>173</v>
      </c>
      <c r="E11" s="1">
        <f>+Expenses!E29</f>
        <v>54415260</v>
      </c>
      <c r="G11" s="1">
        <f>E11-H11</f>
        <v>54415260</v>
      </c>
      <c r="H11" s="1">
        <f>+Expenses!AO29</f>
        <v>0</v>
      </c>
      <c r="I11" s="1">
        <f>+Expenses!AE29</f>
        <v>0</v>
      </c>
      <c r="J11" s="1">
        <f>+Expenses!AG29</f>
        <v>0</v>
      </c>
      <c r="K11" s="1">
        <f>+Expenses!AI29</f>
        <v>0</v>
      </c>
      <c r="L11" s="1">
        <f>+Expenses!AJ29</f>
        <v>0</v>
      </c>
      <c r="M11" s="1"/>
      <c r="N11" s="21" t="s">
        <v>508</v>
      </c>
    </row>
    <row r="12" spans="1:15" x14ac:dyDescent="0.45">
      <c r="A12" s="21">
        <f>+A11+1</f>
        <v>2</v>
      </c>
      <c r="B12" s="21" t="s">
        <v>524</v>
      </c>
      <c r="C12" s="21" t="str">
        <f>CONCATENATE(Expenses!$AT$6, ", Line ",Expenses!A49)</f>
        <v>Schedule C-1.0, Line 41</v>
      </c>
      <c r="D12" s="77" t="s">
        <v>173</v>
      </c>
      <c r="E12" s="1">
        <f>+Expenses!E49</f>
        <v>57544582</v>
      </c>
      <c r="F12" s="1"/>
      <c r="G12" s="1">
        <f t="shared" ref="G12:G23" si="0">E12-H12</f>
        <v>57544582</v>
      </c>
      <c r="H12" s="1">
        <f>+Expenses!AO49</f>
        <v>0</v>
      </c>
      <c r="I12" s="1">
        <f>+Expenses!AE49</f>
        <v>0</v>
      </c>
      <c r="J12" s="1">
        <f>+Expenses!AG49</f>
        <v>0</v>
      </c>
      <c r="K12" s="1">
        <f>+Expenses!AI49</f>
        <v>0</v>
      </c>
      <c r="L12" s="1">
        <f>+Expenses!AJ49</f>
        <v>0</v>
      </c>
      <c r="N12" s="34"/>
      <c r="O12" s="34"/>
    </row>
    <row r="13" spans="1:15" x14ac:dyDescent="0.45">
      <c r="A13" s="21">
        <f t="shared" ref="A13:A36" si="1">+A12+1</f>
        <v>3</v>
      </c>
      <c r="B13" s="21" t="s">
        <v>154</v>
      </c>
      <c r="C13" s="21" t="str">
        <f>CONCATENATE(Expenses!$AT$6, ", Line ",Expenses!A57)</f>
        <v>Schedule C-1.0, Line 49</v>
      </c>
      <c r="D13" s="77" t="s">
        <v>173</v>
      </c>
      <c r="E13" s="1">
        <f>+Expenses!E57</f>
        <v>131528724</v>
      </c>
      <c r="F13" s="1"/>
      <c r="G13" s="1">
        <f t="shared" ca="1" si="0"/>
        <v>131490394.66051082</v>
      </c>
      <c r="H13" s="1">
        <f ca="1">+Expenses!AO57</f>
        <v>38329.339489184182</v>
      </c>
      <c r="I13" s="1">
        <f ca="1">+Expenses!AE57</f>
        <v>3310.9523102567996</v>
      </c>
      <c r="J13" s="1">
        <f ca="1">+Expenses!AG57</f>
        <v>12891.951523195708</v>
      </c>
      <c r="K13" s="1">
        <f ca="1">+Expenses!AI57</f>
        <v>22126.435655731675</v>
      </c>
      <c r="L13" s="1">
        <f ca="1">+Expenses!AJ57</f>
        <v>0</v>
      </c>
    </row>
    <row r="14" spans="1:15" x14ac:dyDescent="0.45">
      <c r="A14" s="21">
        <f t="shared" si="1"/>
        <v>4</v>
      </c>
      <c r="B14" s="21" t="s">
        <v>155</v>
      </c>
      <c r="C14" s="21" t="str">
        <f>CONCATENATE(Expenses!$AT$6, ", Line ",Expenses!A117)</f>
        <v>Schedule C-1.0, Line 109</v>
      </c>
      <c r="D14" s="77" t="s">
        <v>173</v>
      </c>
      <c r="E14" s="1">
        <f>+Expenses!E117</f>
        <v>70463026</v>
      </c>
      <c r="F14" s="1"/>
      <c r="G14" s="1">
        <f t="shared" si="0"/>
        <v>70232183.312390387</v>
      </c>
      <c r="H14" s="1">
        <f>+Expenses!AO117</f>
        <v>230842.68760961288</v>
      </c>
      <c r="I14" s="1">
        <f>+Expenses!AE117</f>
        <v>8001.0685551716379</v>
      </c>
      <c r="J14" s="1">
        <f>+Expenses!AG117</f>
        <v>29977.074785100289</v>
      </c>
      <c r="K14" s="1">
        <f>+Expenses!AI117</f>
        <v>192864.54426934099</v>
      </c>
      <c r="L14" s="1">
        <f>+Expenses!AJ117</f>
        <v>0</v>
      </c>
    </row>
    <row r="15" spans="1:15" x14ac:dyDescent="0.45">
      <c r="A15" s="21">
        <f t="shared" si="1"/>
        <v>5</v>
      </c>
      <c r="B15" s="21" t="s">
        <v>525</v>
      </c>
      <c r="C15" s="21" t="str">
        <f>CONCATENATE(Expenses!$AT$6, ", Line ",Expenses!A138)</f>
        <v>Schedule C-1.0, Line 130</v>
      </c>
      <c r="D15" s="77" t="s">
        <v>173</v>
      </c>
      <c r="E15" s="1">
        <f>+Expenses!E138</f>
        <v>4494204</v>
      </c>
      <c r="F15" s="1"/>
      <c r="G15" s="1">
        <f t="shared" si="0"/>
        <v>4494204</v>
      </c>
      <c r="H15" s="1">
        <f>+Expenses!AO138</f>
        <v>0</v>
      </c>
      <c r="I15" s="1">
        <f>+Expenses!AE138</f>
        <v>0</v>
      </c>
      <c r="J15" s="1">
        <f>+Expenses!AG138</f>
        <v>0</v>
      </c>
      <c r="K15" s="1">
        <f>+Expenses!AI138</f>
        <v>0</v>
      </c>
      <c r="L15" s="1">
        <f>+Expenses!AJ138</f>
        <v>0</v>
      </c>
    </row>
    <row r="16" spans="1:15" x14ac:dyDescent="0.45">
      <c r="A16" s="21">
        <f t="shared" si="1"/>
        <v>6</v>
      </c>
      <c r="B16" s="21" t="s">
        <v>774</v>
      </c>
      <c r="C16" s="21" t="str">
        <f>CONCATENATE(Expenses!$AT$6, ", Line ",Expenses!A176)</f>
        <v>Schedule C-1.0, Line 168</v>
      </c>
      <c r="D16" s="77" t="s">
        <v>173</v>
      </c>
      <c r="E16" s="1">
        <f>+Expenses!E176</f>
        <v>1718629</v>
      </c>
      <c r="F16" s="1"/>
      <c r="G16" s="1">
        <f t="shared" si="0"/>
        <v>1608328.7492370401</v>
      </c>
      <c r="H16" s="1">
        <f>+Expenses!AO176</f>
        <v>110300.25076295999</v>
      </c>
      <c r="I16" s="1">
        <f>+Expenses!AE176</f>
        <v>2296.8855879599914</v>
      </c>
      <c r="J16" s="1">
        <f>+Expenses!AG176</f>
        <v>564.35980999999992</v>
      </c>
      <c r="K16" s="1">
        <f>+Expenses!AI176</f>
        <v>107439.005365</v>
      </c>
      <c r="L16" s="1">
        <f>+Expenses!AJ176</f>
        <v>0</v>
      </c>
    </row>
    <row r="17" spans="1:12" x14ac:dyDescent="0.45">
      <c r="A17" s="21">
        <f t="shared" si="1"/>
        <v>7</v>
      </c>
      <c r="B17" s="21" t="s">
        <v>526</v>
      </c>
      <c r="C17" s="21" t="str">
        <f>CONCATENATE(Expenses!$AT$6, ", Line ",Expenses!A184)</f>
        <v>Schedule C-1.0, Line 176</v>
      </c>
      <c r="D17" s="77" t="s">
        <v>173</v>
      </c>
      <c r="E17" s="1">
        <f>+Expenses!E184</f>
        <v>412307</v>
      </c>
      <c r="F17" s="1"/>
      <c r="G17" s="1">
        <f t="shared" si="0"/>
        <v>412307</v>
      </c>
      <c r="H17" s="1">
        <f>+Expenses!AO184</f>
        <v>0</v>
      </c>
      <c r="I17" s="1">
        <f>+Expenses!AE184</f>
        <v>0</v>
      </c>
      <c r="J17" s="1">
        <f>+Expenses!AG184</f>
        <v>0</v>
      </c>
      <c r="K17" s="1">
        <f>+Expenses!AI184</f>
        <v>0</v>
      </c>
      <c r="L17" s="1">
        <f>+Expenses!AJ184</f>
        <v>0</v>
      </c>
    </row>
    <row r="18" spans="1:12" x14ac:dyDescent="0.45">
      <c r="A18" s="21">
        <f t="shared" si="1"/>
        <v>8</v>
      </c>
      <c r="B18" s="21" t="s">
        <v>527</v>
      </c>
      <c r="C18" s="21" t="str">
        <f>CONCATENATE(Expenses!$AT$6, ", Line ",Expenses!A191)</f>
        <v>Schedule C-1.0, Line 183</v>
      </c>
      <c r="D18" s="77" t="s">
        <v>173</v>
      </c>
      <c r="E18" s="1">
        <f>+Expenses!E191</f>
        <v>0</v>
      </c>
      <c r="F18" s="1"/>
      <c r="G18" s="1">
        <f t="shared" si="0"/>
        <v>0</v>
      </c>
      <c r="H18" s="1">
        <f>+Expenses!AO191</f>
        <v>0</v>
      </c>
      <c r="I18" s="1">
        <f>+Expenses!AE191</f>
        <v>0</v>
      </c>
      <c r="J18" s="1">
        <f>+Expenses!AG191</f>
        <v>0</v>
      </c>
      <c r="K18" s="1">
        <f>+Expenses!AI191</f>
        <v>0</v>
      </c>
      <c r="L18" s="1">
        <f>+Expenses!AJ191</f>
        <v>0</v>
      </c>
    </row>
    <row r="19" spans="1:12" x14ac:dyDescent="0.45">
      <c r="A19" s="21">
        <f t="shared" si="1"/>
        <v>9</v>
      </c>
      <c r="B19" s="21" t="s">
        <v>53</v>
      </c>
      <c r="C19" s="21" t="str">
        <f>CONCATENATE(Expenses!$AT$6, ", Line ",Expenses!A198)</f>
        <v>Schedule C-1.0, Line 190</v>
      </c>
      <c r="D19" s="77" t="s">
        <v>173</v>
      </c>
      <c r="E19" s="1">
        <f>+Expenses!E198</f>
        <v>0</v>
      </c>
      <c r="F19" s="1"/>
      <c r="G19" s="1">
        <f t="shared" si="0"/>
        <v>0</v>
      </c>
      <c r="H19" s="1">
        <f>+Expenses!AO198</f>
        <v>0</v>
      </c>
      <c r="I19" s="1">
        <f>+Expenses!AE198</f>
        <v>0</v>
      </c>
      <c r="J19" s="1">
        <f>+Expenses!AG198</f>
        <v>0</v>
      </c>
      <c r="K19" s="1">
        <f>+Expenses!AI198</f>
        <v>0</v>
      </c>
      <c r="L19" s="1">
        <f>+Expenses!AJ198</f>
        <v>0</v>
      </c>
    </row>
    <row r="20" spans="1:12" x14ac:dyDescent="0.45">
      <c r="A20" s="21">
        <f t="shared" si="1"/>
        <v>10</v>
      </c>
      <c r="B20" s="21" t="s">
        <v>156</v>
      </c>
      <c r="C20" s="21" t="str">
        <f>CONCATENATE(Expenses!$AT$6, ", Line ",Expenses!A226)</f>
        <v>Schedule C-1.0, Line 218</v>
      </c>
      <c r="D20" s="77" t="s">
        <v>173</v>
      </c>
      <c r="E20" s="1">
        <f>+Expenses!E226</f>
        <v>28574921</v>
      </c>
      <c r="F20" s="1"/>
      <c r="G20" s="1">
        <f t="shared" ca="1" si="0"/>
        <v>28329426.291092906</v>
      </c>
      <c r="H20" s="1">
        <f ca="1">+Expenses!AO226</f>
        <v>245494.70890709269</v>
      </c>
      <c r="I20" s="1">
        <f ca="1">+Expenses!AE226</f>
        <v>21105.522240548995</v>
      </c>
      <c r="J20" s="1">
        <f ca="1">+Expenses!AG226</f>
        <v>79710.49669151385</v>
      </c>
      <c r="K20" s="1">
        <f ca="1">+Expenses!AI226</f>
        <v>144678.68997502985</v>
      </c>
      <c r="L20" s="1">
        <f ca="1">+Expenses!AJ226</f>
        <v>0</v>
      </c>
    </row>
    <row r="21" spans="1:12" x14ac:dyDescent="0.45">
      <c r="A21" s="21">
        <f t="shared" si="1"/>
        <v>11</v>
      </c>
      <c r="B21" s="21" t="s">
        <v>1</v>
      </c>
      <c r="C21" s="21" t="str">
        <f>CONCATENATE(Expenses!$AT$6, ", Line ",Expenses!A244)</f>
        <v>Schedule C-1.0, Line 236</v>
      </c>
      <c r="D21" s="77" t="s">
        <v>173</v>
      </c>
      <c r="E21" s="1">
        <f>+Expenses!E244</f>
        <v>39206895</v>
      </c>
      <c r="F21" s="1"/>
      <c r="G21" s="1">
        <f t="shared" ca="1" si="0"/>
        <v>38234000.41723226</v>
      </c>
      <c r="H21" s="1">
        <f ca="1">+Expenses!AO244</f>
        <v>972894.58276774199</v>
      </c>
      <c r="I21" s="1">
        <f ca="1">+Expenses!AE244</f>
        <v>122793.33917111957</v>
      </c>
      <c r="J21" s="1">
        <f ca="1">+Expenses!AG244</f>
        <v>445544.46167409222</v>
      </c>
      <c r="K21" s="1">
        <f ca="1">+Expenses!AI244</f>
        <v>404556.78192253021</v>
      </c>
      <c r="L21" s="1">
        <f ca="1">+Expenses!AJ244</f>
        <v>0</v>
      </c>
    </row>
    <row r="22" spans="1:12" x14ac:dyDescent="0.45">
      <c r="A22" s="21">
        <f t="shared" si="1"/>
        <v>12</v>
      </c>
      <c r="B22" s="21" t="s">
        <v>157</v>
      </c>
      <c r="C22" s="21" t="str">
        <f>CONCATENATE(Expenses!$AT$6, ", Line ",Expenses!A251)</f>
        <v>Schedule C-1.0, Line 243</v>
      </c>
      <c r="D22" s="77" t="s">
        <v>173</v>
      </c>
      <c r="E22" s="1">
        <f>+Expenses!E251</f>
        <v>9085867</v>
      </c>
      <c r="F22" s="1"/>
      <c r="G22" s="1">
        <f t="shared" ca="1" si="0"/>
        <v>8814067.4212182369</v>
      </c>
      <c r="H22" s="1">
        <f ca="1">+Expenses!AO251</f>
        <v>271799.57878176309</v>
      </c>
      <c r="I22" s="1">
        <f ca="1">+Expenses!AE251</f>
        <v>36007.050099677181</v>
      </c>
      <c r="J22" s="1">
        <f ca="1">+Expenses!AG251</f>
        <v>16349.482284159025</v>
      </c>
      <c r="K22" s="1">
        <f ca="1">+Expenses!AI251</f>
        <v>219443.0463979269</v>
      </c>
      <c r="L22" s="1">
        <f ca="1">+Expenses!AJ251</f>
        <v>0</v>
      </c>
    </row>
    <row r="23" spans="1:12" x14ac:dyDescent="0.45">
      <c r="A23" s="21">
        <f t="shared" si="1"/>
        <v>13</v>
      </c>
      <c r="B23" s="21" t="s">
        <v>148</v>
      </c>
      <c r="C23" s="21" t="str">
        <f>CONCATENATE(Expenses!$AT$6, ", Line ",Expenses!A260)</f>
        <v>Schedule C-1.0, Line 252</v>
      </c>
      <c r="D23" s="77" t="s">
        <v>173</v>
      </c>
      <c r="E23" s="1">
        <f>+Expenses!E260</f>
        <v>28155323</v>
      </c>
      <c r="F23" s="1"/>
      <c r="G23" s="1">
        <f t="shared" ca="1" si="0"/>
        <v>27189608.683836918</v>
      </c>
      <c r="H23" s="1">
        <f ca="1">+Expenses!AO260</f>
        <v>965714.31616308319</v>
      </c>
      <c r="I23" s="1">
        <f ca="1">+Expenses!AE260</f>
        <v>114288.21129720921</v>
      </c>
      <c r="J23" s="1">
        <f ca="1">+Expenses!AG260</f>
        <v>516596.13325868634</v>
      </c>
      <c r="K23" s="1">
        <f ca="1">+Expenses!AI260</f>
        <v>334829.97160718765</v>
      </c>
      <c r="L23" s="1">
        <f ca="1">+Expenses!AJ260</f>
        <v>0</v>
      </c>
    </row>
    <row r="24" spans="1:12" x14ac:dyDescent="0.45">
      <c r="A24" s="21">
        <f t="shared" si="1"/>
        <v>14</v>
      </c>
      <c r="B24" s="21" t="s">
        <v>150</v>
      </c>
      <c r="C24" s="21" t="str">
        <f>CONCATENATE("Sum Line ",A11," to Line ",A23)</f>
        <v>Sum Line 1 to Line 13</v>
      </c>
      <c r="D24" s="77" t="s">
        <v>173</v>
      </c>
      <c r="E24" s="1">
        <f>SUM(E11:E23)</f>
        <v>425599738</v>
      </c>
      <c r="F24" s="1"/>
      <c r="G24" s="1">
        <f t="shared" ref="G24:L24" ca="1" si="2">SUM(G11:G23)</f>
        <v>422764362.53551865</v>
      </c>
      <c r="H24" s="1">
        <f t="shared" ca="1" si="2"/>
        <v>2835375.464481438</v>
      </c>
      <c r="I24" s="1">
        <f t="shared" ca="1" si="2"/>
        <v>307803.02926194336</v>
      </c>
      <c r="J24" s="1">
        <f t="shared" ca="1" si="2"/>
        <v>1101633.9600267475</v>
      </c>
      <c r="K24" s="1">
        <f t="shared" ca="1" si="2"/>
        <v>1425938.4751927475</v>
      </c>
      <c r="L24" s="1">
        <f t="shared" ca="1" si="2"/>
        <v>0</v>
      </c>
    </row>
    <row r="25" spans="1:12" x14ac:dyDescent="0.45">
      <c r="A25" s="21">
        <f t="shared" si="1"/>
        <v>15</v>
      </c>
      <c r="B25" s="21" t="s">
        <v>16</v>
      </c>
      <c r="C25" s="21" t="str">
        <f>CONCATENATE(Expenses!$AT$6, ", Line ",Expenses!A263)</f>
        <v>Schedule C-1.0, Line 255</v>
      </c>
      <c r="D25" s="77" t="s">
        <v>173</v>
      </c>
      <c r="E25" s="1"/>
      <c r="H25" s="22"/>
      <c r="I25" s="22">
        <f ca="1">+Expenses!AE263</f>
        <v>28704.465216435561</v>
      </c>
      <c r="J25" s="22">
        <f ca="1">+Expenses!AG263</f>
        <v>897738.14345576777</v>
      </c>
      <c r="K25" s="22">
        <f ca="1">+Expenses!AI263</f>
        <v>111042.12663060699</v>
      </c>
      <c r="L25" s="22">
        <f ca="1">+Expenses!AJ263</f>
        <v>0</v>
      </c>
    </row>
    <row r="26" spans="1:12" x14ac:dyDescent="0.45">
      <c r="A26" s="21">
        <f t="shared" si="1"/>
        <v>16</v>
      </c>
      <c r="B26" s="21" t="s">
        <v>17</v>
      </c>
      <c r="C26" s="21" t="s">
        <v>773</v>
      </c>
      <c r="D26" s="77" t="s">
        <v>173</v>
      </c>
      <c r="E26" s="22"/>
      <c r="H26" s="22">
        <f ca="1">SUM(H24:H25)</f>
        <v>2835375.464481438</v>
      </c>
      <c r="I26" s="22">
        <f ca="1">SUM(I24:I25)</f>
        <v>336507.49447837891</v>
      </c>
      <c r="J26" s="22">
        <f ca="1">SUM(J24:J25)</f>
        <v>1999372.1034825153</v>
      </c>
      <c r="K26" s="22">
        <f ca="1">SUM(K24:K25)</f>
        <v>1536980.6018233546</v>
      </c>
      <c r="L26" s="22">
        <f ca="1">SUM(L24:L25)</f>
        <v>0</v>
      </c>
    </row>
    <row r="27" spans="1:12" x14ac:dyDescent="0.45">
      <c r="A27" s="21">
        <f t="shared" si="1"/>
        <v>17</v>
      </c>
      <c r="D27" s="77"/>
    </row>
    <row r="28" spans="1:12" x14ac:dyDescent="0.45">
      <c r="A28" s="21">
        <f t="shared" si="1"/>
        <v>18</v>
      </c>
      <c r="B28" s="21" t="s">
        <v>18</v>
      </c>
      <c r="C28" s="21" t="str">
        <f>CONCATENATE(Usage!R6, ", L",Usage!A55, ", L",Usage!A13, ", L",Usage!A27, ", L",Usage!A53)</f>
        <v>Schedule E-1.0, L, L6, L, L</v>
      </c>
      <c r="D28" s="77" t="s">
        <v>160</v>
      </c>
      <c r="H28" s="1">
        <f>+Usage!P16</f>
        <v>2901938.5000000005</v>
      </c>
      <c r="I28" s="1">
        <f>+Usage!P8</f>
        <v>146539</v>
      </c>
      <c r="J28" s="1">
        <f>+Usage!P10</f>
        <v>249635.39999999997</v>
      </c>
      <c r="K28" s="1">
        <f>+Usage!P12</f>
        <v>2505764.1</v>
      </c>
      <c r="L28" s="1">
        <f>+Usage!P14</f>
        <v>0</v>
      </c>
    </row>
    <row r="29" spans="1:12" x14ac:dyDescent="0.45">
      <c r="A29" s="21">
        <f t="shared" si="1"/>
        <v>19</v>
      </c>
      <c r="D29" s="77"/>
      <c r="H29" s="1"/>
      <c r="I29" s="1"/>
      <c r="J29" s="1"/>
      <c r="K29" s="1"/>
      <c r="L29" s="1"/>
    </row>
    <row r="30" spans="1:12" x14ac:dyDescent="0.45">
      <c r="A30" s="21">
        <f t="shared" si="1"/>
        <v>20</v>
      </c>
      <c r="D30" s="77"/>
      <c r="H30" s="1"/>
      <c r="I30" s="1"/>
      <c r="J30" s="1"/>
      <c r="K30" s="1"/>
      <c r="L30" s="1"/>
    </row>
    <row r="31" spans="1:12" x14ac:dyDescent="0.45">
      <c r="A31" s="21">
        <f t="shared" si="1"/>
        <v>21</v>
      </c>
      <c r="B31" s="66" t="s">
        <v>158</v>
      </c>
      <c r="C31" s="2"/>
      <c r="D31" s="77"/>
      <c r="H31" s="1"/>
      <c r="I31" s="1"/>
      <c r="J31" s="1"/>
      <c r="K31" s="1"/>
      <c r="L31" s="1"/>
    </row>
    <row r="32" spans="1:12" x14ac:dyDescent="0.45">
      <c r="A32" s="21">
        <f t="shared" si="1"/>
        <v>22</v>
      </c>
      <c r="B32" s="2" t="s">
        <v>174</v>
      </c>
      <c r="C32" s="21" t="str">
        <f>CONCATENATE("Line ",A33, " * 12")</f>
        <v>Line 23 * 12</v>
      </c>
      <c r="D32" s="77" t="s">
        <v>181</v>
      </c>
      <c r="H32" s="18">
        <f ca="1">IFERROR(+H33*12,0)</f>
        <v>11.76</v>
      </c>
      <c r="I32" s="18">
        <f ca="1">IFERROR(+I33*12,0)</f>
        <v>27.599999999999998</v>
      </c>
      <c r="J32" s="18">
        <f ca="1">IFERROR(+J33*12,0)</f>
        <v>96.12</v>
      </c>
      <c r="K32" s="18">
        <f ca="1">IFERROR(+K33*12,0)</f>
        <v>7.32</v>
      </c>
      <c r="L32" s="18">
        <f ca="1">IFERROR(+L33*12,0)</f>
        <v>0</v>
      </c>
    </row>
    <row r="33" spans="1:14" x14ac:dyDescent="0.45">
      <c r="A33" s="21">
        <f t="shared" si="1"/>
        <v>23</v>
      </c>
      <c r="B33" s="21" t="s">
        <v>175</v>
      </c>
      <c r="C33" s="21" t="str">
        <f>CONCATENATE("Line ",A26, " /", " Line ", A28)</f>
        <v>Line 16 / Line 18</v>
      </c>
      <c r="D33" s="77" t="s">
        <v>159</v>
      </c>
      <c r="H33" s="18">
        <f t="shared" ref="H33:J33" ca="1" si="3">IFERROR(ROUND(+H26/H28,2),0)</f>
        <v>0.98</v>
      </c>
      <c r="I33" s="18">
        <f t="shared" ca="1" si="3"/>
        <v>2.2999999999999998</v>
      </c>
      <c r="J33" s="18">
        <f t="shared" ca="1" si="3"/>
        <v>8.01</v>
      </c>
      <c r="K33" s="18">
        <f ca="1">IFERROR(ROUND(+K26/K28,2),0)</f>
        <v>0.61</v>
      </c>
      <c r="L33" s="18">
        <f ca="1">IFERROR(ROUND(+L26/L28,2),0)</f>
        <v>0</v>
      </c>
      <c r="N33" s="160"/>
    </row>
    <row r="34" spans="1:14" x14ac:dyDescent="0.45">
      <c r="A34" s="21">
        <f t="shared" si="1"/>
        <v>24</v>
      </c>
      <c r="B34" s="21" t="s">
        <v>176</v>
      </c>
      <c r="C34" s="21" t="str">
        <f>CONCATENATE("Line ",A32, " / 52")</f>
        <v>Line 22 / 52</v>
      </c>
      <c r="D34" s="77" t="s">
        <v>182</v>
      </c>
      <c r="H34" s="80">
        <f ca="1">+H32/52</f>
        <v>0.22615384615384615</v>
      </c>
      <c r="I34" s="80">
        <f ca="1">+I32/52</f>
        <v>0.53076923076923077</v>
      </c>
      <c r="J34" s="80">
        <f ca="1">+J32/52</f>
        <v>1.8484615384615386</v>
      </c>
      <c r="K34" s="80">
        <f ca="1">+K32/52</f>
        <v>0.14076923076923079</v>
      </c>
      <c r="L34" s="80">
        <f ca="1">+L32/52</f>
        <v>0</v>
      </c>
    </row>
    <row r="35" spans="1:14" x14ac:dyDescent="0.45">
      <c r="A35" s="21">
        <f t="shared" si="1"/>
        <v>25</v>
      </c>
      <c r="B35" s="21" t="s">
        <v>177</v>
      </c>
      <c r="C35" s="21" t="str">
        <f>CONCATENATE("Line ",A34, " / 5")</f>
        <v>Line 24 / 5</v>
      </c>
      <c r="D35" s="77" t="s">
        <v>183</v>
      </c>
      <c r="H35" s="80">
        <f ca="1">+H34/5</f>
        <v>4.5230769230769227E-2</v>
      </c>
      <c r="I35" s="80">
        <f t="shared" ref="I35:K35" ca="1" si="4">+I34/5</f>
        <v>0.10615384615384615</v>
      </c>
      <c r="J35" s="80">
        <f t="shared" ca="1" si="4"/>
        <v>0.36969230769230771</v>
      </c>
      <c r="K35" s="80">
        <f t="shared" ca="1" si="4"/>
        <v>2.8153846153846158E-2</v>
      </c>
      <c r="L35" s="80">
        <f t="shared" ref="L35" ca="1" si="5">+L34/5</f>
        <v>0</v>
      </c>
    </row>
    <row r="36" spans="1:14" x14ac:dyDescent="0.45">
      <c r="A36" s="21">
        <f t="shared" si="1"/>
        <v>26</v>
      </c>
      <c r="B36" s="21" t="s">
        <v>178</v>
      </c>
      <c r="C36" s="21" t="str">
        <f>CONCATENATE("Line ",A35, " / 16")</f>
        <v>Line 25 / 16</v>
      </c>
      <c r="D36" s="77" t="s">
        <v>184</v>
      </c>
      <c r="H36" s="80">
        <f ca="1">+H35/16</f>
        <v>2.8269230769230767E-3</v>
      </c>
      <c r="I36" s="80">
        <f ca="1">+I35/16</f>
        <v>6.6346153846153846E-3</v>
      </c>
      <c r="J36" s="80">
        <f ca="1">+J35/16</f>
        <v>2.3105769230769232E-2</v>
      </c>
      <c r="K36" s="80">
        <f ca="1">+K35/16</f>
        <v>1.7596153846153849E-3</v>
      </c>
      <c r="L36" s="80">
        <f ca="1">+L35/16</f>
        <v>0</v>
      </c>
    </row>
    <row r="39" spans="1:14" x14ac:dyDescent="0.45">
      <c r="G39" s="1"/>
      <c r="H39" s="1"/>
      <c r="I39" s="1"/>
      <c r="J39" s="1"/>
      <c r="K39" s="1"/>
      <c r="L39" s="1"/>
    </row>
    <row r="40" spans="1:14" x14ac:dyDescent="0.45">
      <c r="G40" s="1"/>
      <c r="H40" s="1"/>
      <c r="I40" s="1"/>
      <c r="J40" s="1"/>
      <c r="K40" s="1"/>
      <c r="L40" s="1"/>
    </row>
    <row r="41" spans="1:14" x14ac:dyDescent="0.45">
      <c r="G41" s="22"/>
      <c r="H41" s="22"/>
      <c r="I41" s="22"/>
      <c r="J41" s="22"/>
      <c r="K41" s="1"/>
      <c r="L41" s="22"/>
    </row>
    <row r="42" spans="1:14" x14ac:dyDescent="0.45">
      <c r="K42" s="1"/>
    </row>
    <row r="43" spans="1:14" x14ac:dyDescent="0.45">
      <c r="K43" s="1"/>
    </row>
    <row r="44" spans="1:14" x14ac:dyDescent="0.45">
      <c r="G44" s="1"/>
      <c r="H44" s="1"/>
      <c r="I44" s="1"/>
      <c r="J44" s="1"/>
      <c r="K44" s="1"/>
      <c r="L44" s="1"/>
    </row>
    <row r="45" spans="1:14" x14ac:dyDescent="0.45">
      <c r="G45" s="1"/>
      <c r="H45" s="1"/>
      <c r="I45" s="1"/>
      <c r="J45" s="1"/>
      <c r="K45" s="1"/>
      <c r="L45" s="1"/>
    </row>
    <row r="46" spans="1:14" x14ac:dyDescent="0.45">
      <c r="G46" s="22"/>
      <c r="H46" s="22"/>
      <c r="I46" s="22"/>
      <c r="J46" s="22"/>
      <c r="K46" s="22"/>
      <c r="L46" s="22"/>
    </row>
  </sheetData>
  <mergeCells count="4">
    <mergeCell ref="B1:K1"/>
    <mergeCell ref="B2:K2"/>
    <mergeCell ref="I5:L5"/>
    <mergeCell ref="I6:L6"/>
  </mergeCells>
  <printOptions horizontalCentered="1"/>
  <pageMargins left="0.25" right="0.25" top="0.75" bottom="0.75" header="0.3" footer="0.3"/>
  <pageSetup scale="73" orientation="landscape" r:id="rId1"/>
  <headerFooter>
    <oddHeader>&amp;RSchedule A-1.0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J144"/>
  <sheetViews>
    <sheetView zoomScaleNormal="100" workbookViewId="0">
      <pane xSplit="6" ySplit="8" topLeftCell="G105" activePane="bottomRight" state="frozen"/>
      <selection pane="topRight" activeCell="G1" sqref="G1"/>
      <selection pane="bottomLeft" activeCell="A9" sqref="A9"/>
      <selection pane="bottomRight" activeCell="C119" sqref="C119"/>
    </sheetView>
  </sheetViews>
  <sheetFormatPr defaultColWidth="9.1328125" defaultRowHeight="14.25" x14ac:dyDescent="0.45"/>
  <cols>
    <col min="1" max="1" width="5.265625" style="21" customWidth="1"/>
    <col min="2" max="2" width="14.73046875" style="21" customWidth="1"/>
    <col min="3" max="3" width="45.73046875" style="21" customWidth="1"/>
    <col min="4" max="4" width="20.59765625" style="21" bestFit="1" customWidth="1"/>
    <col min="5" max="5" width="15.3984375" style="21" bestFit="1" customWidth="1"/>
    <col min="6" max="6" width="6.3984375" style="21" bestFit="1" customWidth="1"/>
    <col min="7" max="14" width="13" style="21" customWidth="1"/>
    <col min="15" max="15" width="14.73046875" style="21" bestFit="1" customWidth="1"/>
    <col min="16" max="16" width="2.1328125" style="21" customWidth="1"/>
    <col min="17" max="18" width="13" style="21" customWidth="1"/>
    <col min="19" max="19" width="15.3984375" style="21" bestFit="1" customWidth="1"/>
    <col min="20" max="20" width="2.1328125" style="21" customWidth="1"/>
    <col min="21" max="21" width="4.86328125" style="21" bestFit="1" customWidth="1"/>
    <col min="22" max="29" width="13" style="21" customWidth="1"/>
    <col min="30" max="30" width="14.73046875" style="21" bestFit="1" customWidth="1"/>
    <col min="31" max="31" width="2.1328125" style="21" customWidth="1"/>
    <col min="32" max="33" width="13" style="21" customWidth="1"/>
    <col min="34" max="34" width="14.73046875" style="21" bestFit="1" customWidth="1"/>
    <col min="35" max="16384" width="9.1328125" style="21"/>
  </cols>
  <sheetData>
    <row r="1" spans="1:36" x14ac:dyDescent="0.45">
      <c r="A1" s="170" t="s">
        <v>27</v>
      </c>
      <c r="B1" s="170"/>
      <c r="C1" s="170"/>
      <c r="D1" s="170"/>
      <c r="E1" s="170"/>
      <c r="F1" s="170"/>
      <c r="G1" s="170"/>
      <c r="H1" s="170"/>
      <c r="I1" s="170"/>
      <c r="J1" s="170"/>
      <c r="K1" s="170"/>
      <c r="L1" s="170"/>
      <c r="M1" s="170"/>
      <c r="N1" s="170"/>
      <c r="O1" s="170"/>
      <c r="P1" s="170"/>
      <c r="Q1" s="170"/>
      <c r="R1" s="170"/>
      <c r="S1" s="170"/>
      <c r="T1" s="118"/>
      <c r="AE1" s="118"/>
      <c r="AF1" s="118"/>
      <c r="AG1" s="118"/>
    </row>
    <row r="2" spans="1:36" x14ac:dyDescent="0.45">
      <c r="A2" s="170" t="s">
        <v>858</v>
      </c>
      <c r="B2" s="170"/>
      <c r="C2" s="170"/>
      <c r="D2" s="170"/>
      <c r="E2" s="170"/>
      <c r="F2" s="170"/>
      <c r="G2" s="170"/>
      <c r="H2" s="170"/>
      <c r="I2" s="170"/>
      <c r="J2" s="170"/>
      <c r="K2" s="170"/>
      <c r="L2" s="170"/>
      <c r="M2" s="170"/>
      <c r="N2" s="170"/>
      <c r="O2" s="170"/>
      <c r="P2" s="170"/>
      <c r="Q2" s="170"/>
      <c r="R2" s="170"/>
      <c r="S2" s="170"/>
      <c r="T2" s="118"/>
      <c r="AE2" s="118"/>
      <c r="AF2" s="118"/>
      <c r="AG2" s="118"/>
    </row>
    <row r="4" spans="1:36" x14ac:dyDescent="0.45">
      <c r="B4" s="14" t="s">
        <v>836</v>
      </c>
      <c r="E4" s="118" t="s">
        <v>509</v>
      </c>
      <c r="F4" s="118" t="s">
        <v>510</v>
      </c>
      <c r="G4" s="118" t="s">
        <v>511</v>
      </c>
      <c r="H4" s="118" t="s">
        <v>512</v>
      </c>
      <c r="I4" s="118" t="s">
        <v>513</v>
      </c>
      <c r="J4" s="118" t="s">
        <v>514</v>
      </c>
      <c r="K4" s="118" t="s">
        <v>515</v>
      </c>
      <c r="L4" s="118" t="s">
        <v>516</v>
      </c>
      <c r="M4" s="118" t="s">
        <v>548</v>
      </c>
      <c r="N4" s="118" t="s">
        <v>549</v>
      </c>
      <c r="O4" s="118" t="s">
        <v>550</v>
      </c>
      <c r="P4" s="118"/>
      <c r="Q4" s="118" t="s">
        <v>644</v>
      </c>
      <c r="R4" s="118" t="s">
        <v>645</v>
      </c>
      <c r="S4" s="118" t="s">
        <v>646</v>
      </c>
      <c r="T4" s="118"/>
      <c r="U4" s="118" t="s">
        <v>647</v>
      </c>
      <c r="V4" s="118" t="s">
        <v>754</v>
      </c>
      <c r="W4" s="118" t="s">
        <v>688</v>
      </c>
      <c r="X4" s="118" t="s">
        <v>689</v>
      </c>
      <c r="Y4" s="118" t="s">
        <v>690</v>
      </c>
      <c r="Z4" s="118" t="s">
        <v>691</v>
      </c>
      <c r="AA4" s="118" t="s">
        <v>692</v>
      </c>
      <c r="AB4" s="118" t="s">
        <v>693</v>
      </c>
      <c r="AC4" s="118" t="s">
        <v>694</v>
      </c>
      <c r="AD4" s="118" t="s">
        <v>695</v>
      </c>
      <c r="AE4" s="118"/>
      <c r="AF4" s="118" t="s">
        <v>696</v>
      </c>
      <c r="AG4" s="118" t="s">
        <v>697</v>
      </c>
      <c r="AH4" s="118" t="s">
        <v>698</v>
      </c>
    </row>
    <row r="5" spans="1:36" x14ac:dyDescent="0.45">
      <c r="O5" s="118"/>
      <c r="AD5" s="118"/>
    </row>
    <row r="6" spans="1:36" x14ac:dyDescent="0.45">
      <c r="G6" s="172" t="s">
        <v>648</v>
      </c>
      <c r="H6" s="172"/>
      <c r="I6" s="172" t="s">
        <v>649</v>
      </c>
      <c r="J6" s="172"/>
      <c r="K6" s="172" t="s">
        <v>650</v>
      </c>
      <c r="L6" s="172"/>
      <c r="M6" s="172" t="s">
        <v>753</v>
      </c>
      <c r="N6" s="172"/>
      <c r="O6" s="120" t="s">
        <v>776</v>
      </c>
      <c r="Q6" s="121"/>
      <c r="R6" s="121"/>
      <c r="S6" s="121"/>
      <c r="V6" s="172" t="s">
        <v>648</v>
      </c>
      <c r="W6" s="172"/>
      <c r="X6" s="172" t="s">
        <v>649</v>
      </c>
      <c r="Y6" s="172"/>
      <c r="Z6" s="172" t="s">
        <v>650</v>
      </c>
      <c r="AA6" s="172"/>
      <c r="AB6" s="172" t="s">
        <v>753</v>
      </c>
      <c r="AC6" s="172"/>
      <c r="AD6" s="120" t="s">
        <v>776</v>
      </c>
      <c r="AF6" s="121"/>
      <c r="AG6" s="121"/>
      <c r="AH6" s="121"/>
      <c r="AJ6" s="21" t="s">
        <v>746</v>
      </c>
    </row>
    <row r="7" spans="1:36" x14ac:dyDescent="0.45">
      <c r="D7" s="21" t="s">
        <v>179</v>
      </c>
      <c r="E7" s="118" t="s">
        <v>547</v>
      </c>
      <c r="F7" s="65" t="s">
        <v>140</v>
      </c>
      <c r="G7" s="65" t="s">
        <v>26</v>
      </c>
      <c r="H7" s="65" t="s">
        <v>34</v>
      </c>
      <c r="I7" s="65" t="s">
        <v>26</v>
      </c>
      <c r="J7" s="65" t="s">
        <v>34</v>
      </c>
      <c r="K7" s="65" t="s">
        <v>26</v>
      </c>
      <c r="L7" s="65" t="s">
        <v>34</v>
      </c>
      <c r="M7" s="65" t="s">
        <v>26</v>
      </c>
      <c r="N7" s="65" t="s">
        <v>34</v>
      </c>
      <c r="O7" s="65"/>
      <c r="Q7" s="65" t="s">
        <v>26</v>
      </c>
      <c r="R7" s="65" t="s">
        <v>34</v>
      </c>
      <c r="S7" s="118" t="s">
        <v>0</v>
      </c>
      <c r="U7" s="65" t="s">
        <v>140</v>
      </c>
      <c r="V7" s="65" t="s">
        <v>151</v>
      </c>
      <c r="W7" s="21" t="s">
        <v>546</v>
      </c>
      <c r="X7" s="65" t="s">
        <v>151</v>
      </c>
      <c r="Y7" s="21" t="s">
        <v>546</v>
      </c>
      <c r="Z7" s="65" t="s">
        <v>151</v>
      </c>
      <c r="AA7" s="21" t="s">
        <v>546</v>
      </c>
      <c r="AB7" s="65" t="s">
        <v>151</v>
      </c>
      <c r="AC7" s="21" t="s">
        <v>546</v>
      </c>
      <c r="AD7" s="65"/>
      <c r="AF7" s="65" t="s">
        <v>151</v>
      </c>
      <c r="AG7" s="21" t="s">
        <v>546</v>
      </c>
      <c r="AH7" s="118" t="s">
        <v>0</v>
      </c>
    </row>
    <row r="8" spans="1:36" x14ac:dyDescent="0.45">
      <c r="E8" s="119" t="s">
        <v>145</v>
      </c>
      <c r="F8" s="119" t="s">
        <v>236</v>
      </c>
      <c r="G8" s="119" t="s">
        <v>25</v>
      </c>
      <c r="H8" s="119" t="s">
        <v>109</v>
      </c>
      <c r="I8" s="119" t="s">
        <v>25</v>
      </c>
      <c r="J8" s="119" t="s">
        <v>109</v>
      </c>
      <c r="K8" s="119" t="s">
        <v>25</v>
      </c>
      <c r="L8" s="119" t="s">
        <v>109</v>
      </c>
      <c r="M8" s="119" t="s">
        <v>25</v>
      </c>
      <c r="N8" s="119" t="s">
        <v>109</v>
      </c>
      <c r="O8" s="119" t="s">
        <v>25</v>
      </c>
      <c r="Q8" s="119" t="s">
        <v>25</v>
      </c>
      <c r="R8" s="119" t="s">
        <v>109</v>
      </c>
      <c r="S8" s="119" t="s">
        <v>145</v>
      </c>
      <c r="U8" s="119" t="s">
        <v>236</v>
      </c>
      <c r="V8" s="119" t="s">
        <v>109</v>
      </c>
      <c r="W8" s="119" t="s">
        <v>109</v>
      </c>
      <c r="X8" s="119" t="s">
        <v>109</v>
      </c>
      <c r="Y8" s="119" t="s">
        <v>109</v>
      </c>
      <c r="Z8" s="119" t="s">
        <v>109</v>
      </c>
      <c r="AA8" s="119" t="s">
        <v>109</v>
      </c>
      <c r="AB8" s="119" t="s">
        <v>109</v>
      </c>
      <c r="AC8" s="119" t="s">
        <v>109</v>
      </c>
      <c r="AD8" s="119" t="s">
        <v>109</v>
      </c>
      <c r="AF8" s="119" t="s">
        <v>25</v>
      </c>
      <c r="AG8" s="119" t="s">
        <v>109</v>
      </c>
      <c r="AH8" s="119" t="s">
        <v>109</v>
      </c>
    </row>
    <row r="9" spans="1:36" x14ac:dyDescent="0.45">
      <c r="A9" s="118">
        <v>1</v>
      </c>
      <c r="B9" s="66" t="s">
        <v>420</v>
      </c>
      <c r="C9" s="66"/>
      <c r="E9" s="119">
        <v>1</v>
      </c>
      <c r="F9" s="119">
        <v>2</v>
      </c>
      <c r="G9" s="119">
        <v>3</v>
      </c>
      <c r="H9" s="119">
        <v>4</v>
      </c>
      <c r="I9" s="119">
        <v>5</v>
      </c>
      <c r="J9" s="119">
        <v>6</v>
      </c>
      <c r="K9" s="119">
        <v>7</v>
      </c>
      <c r="L9" s="119">
        <v>8</v>
      </c>
      <c r="M9" s="119">
        <v>9</v>
      </c>
      <c r="N9" s="119">
        <v>10</v>
      </c>
      <c r="O9" s="119"/>
      <c r="Q9" s="119"/>
      <c r="R9" s="119"/>
      <c r="S9" s="119"/>
      <c r="V9" s="119">
        <v>3</v>
      </c>
      <c r="W9" s="119">
        <v>4</v>
      </c>
      <c r="X9" s="119">
        <v>5</v>
      </c>
      <c r="Y9" s="119">
        <v>6</v>
      </c>
      <c r="Z9" s="119">
        <v>7</v>
      </c>
      <c r="AA9" s="119">
        <v>8</v>
      </c>
      <c r="AB9" s="119">
        <v>9</v>
      </c>
      <c r="AC9" s="119">
        <v>10</v>
      </c>
      <c r="AD9" s="119"/>
      <c r="AF9" s="119"/>
      <c r="AG9" s="119"/>
    </row>
    <row r="10" spans="1:36" x14ac:dyDescent="0.45">
      <c r="A10" s="118">
        <f>+A9+1</f>
        <v>2</v>
      </c>
      <c r="B10" s="14">
        <v>301</v>
      </c>
      <c r="C10" s="21" t="s">
        <v>421</v>
      </c>
      <c r="D10" s="21" t="s">
        <v>422</v>
      </c>
      <c r="E10" s="25">
        <v>0</v>
      </c>
      <c r="F10" s="1">
        <v>101</v>
      </c>
      <c r="G10" s="1">
        <f>VLOOKUP($F10,AF!$B$39:$M$80,G$9)*$E10</f>
        <v>0</v>
      </c>
      <c r="H10" s="1">
        <f>VLOOKUP($F10,AF!$B$39:$M$80,H$9)*$E10</f>
        <v>0</v>
      </c>
      <c r="I10" s="1">
        <f>VLOOKUP($F10,AF!$B$39:$M$80,I$9)*$E10</f>
        <v>0</v>
      </c>
      <c r="J10" s="1">
        <f>VLOOKUP($F10,AF!$B$39:$M$80,J$9)*$E10</f>
        <v>0</v>
      </c>
      <c r="K10" s="1">
        <f>VLOOKUP($F10,AF!$B$39:$M$80,K$9)*$E10</f>
        <v>0</v>
      </c>
      <c r="L10" s="1">
        <f>VLOOKUP($F10,AF!$B$39:$M$80,L$9)*$E10</f>
        <v>0</v>
      </c>
      <c r="M10" s="1">
        <f>VLOOKUP($F10,AF!$B$39:$M$80,M$9)*$E10</f>
        <v>0</v>
      </c>
      <c r="N10" s="1">
        <f>VLOOKUP($F10,AF!$B$39:$M$80,N$9)*$E10</f>
        <v>0</v>
      </c>
      <c r="O10" s="1">
        <f>E10-SUM(G10:N10)</f>
        <v>0</v>
      </c>
      <c r="Q10" s="8">
        <f>+M10+K10+I10+G10</f>
        <v>0</v>
      </c>
      <c r="R10" s="8">
        <f>+N10+L10+J10+H10</f>
        <v>0</v>
      </c>
      <c r="S10" s="17">
        <f>Q10+R10+O10</f>
        <v>0</v>
      </c>
      <c r="U10" s="118">
        <v>302</v>
      </c>
      <c r="V10" s="67">
        <f>VLOOKUP($U10,AF!$B$39:$M$80,V$9)*G10</f>
        <v>0</v>
      </c>
      <c r="W10" s="67">
        <f>VLOOKUP($U10,AF!$B$39:$M$80,W$9)*H10</f>
        <v>0</v>
      </c>
      <c r="X10" s="67">
        <f>VLOOKUP($U10,AF!$B$39:$M$80,X$9)*I10</f>
        <v>0</v>
      </c>
      <c r="Y10" s="67">
        <f>VLOOKUP($U10,AF!$B$39:$M$80,Y$9)*J10</f>
        <v>0</v>
      </c>
      <c r="Z10" s="67">
        <f>VLOOKUP($U10,AF!$B$39:$M$80,Z$9)*K10</f>
        <v>0</v>
      </c>
      <c r="AA10" s="67">
        <f>VLOOKUP($U10,AF!$B$39:$M$80,AA$9)*L10</f>
        <v>0</v>
      </c>
      <c r="AB10" s="67">
        <f>VLOOKUP($U10,AF!$B$39:$M$80,AB$9)*M10</f>
        <v>0</v>
      </c>
      <c r="AC10" s="67">
        <f>VLOOKUP($U10,AF!$B$39:$M$80,AC$9)*N10</f>
        <v>0</v>
      </c>
      <c r="AD10" s="67">
        <f>E10-SUM(V10:AC10)</f>
        <v>0</v>
      </c>
      <c r="AF10" s="8">
        <f t="shared" ref="AF10:AG12" si="0">+AB10+Z10+X10+V10</f>
        <v>0</v>
      </c>
      <c r="AG10" s="8">
        <f t="shared" si="0"/>
        <v>0</v>
      </c>
      <c r="AH10" s="67">
        <f>+AF10+AG10+AD10</f>
        <v>0</v>
      </c>
    </row>
    <row r="11" spans="1:36" x14ac:dyDescent="0.45">
      <c r="A11" s="118">
        <f t="shared" ref="A11:A94" si="1">+A10+1</f>
        <v>3</v>
      </c>
      <c r="B11" s="14">
        <v>302</v>
      </c>
      <c r="C11" s="21" t="s">
        <v>449</v>
      </c>
      <c r="D11" s="21" t="s">
        <v>423</v>
      </c>
      <c r="E11" s="25">
        <v>0</v>
      </c>
      <c r="F11" s="1">
        <v>101</v>
      </c>
      <c r="G11" s="1">
        <f>VLOOKUP($F11,AF!$B$39:$M$80,G$9)*$E11</f>
        <v>0</v>
      </c>
      <c r="H11" s="1">
        <f>VLOOKUP($F11,AF!$B$39:$M$80,H$9)*$E11</f>
        <v>0</v>
      </c>
      <c r="I11" s="1">
        <f>VLOOKUP($F11,AF!$B$39:$M$80,I$9)*$E11</f>
        <v>0</v>
      </c>
      <c r="J11" s="1">
        <f>VLOOKUP($F11,AF!$B$39:$M$80,J$9)*$E11</f>
        <v>0</v>
      </c>
      <c r="K11" s="1">
        <f>VLOOKUP($F11,AF!$B$39:$M$80,K$9)*$E11</f>
        <v>0</v>
      </c>
      <c r="L11" s="1">
        <f>VLOOKUP($F11,AF!$B$39:$M$80,L$9)*$E11</f>
        <v>0</v>
      </c>
      <c r="M11" s="1">
        <f>VLOOKUP($F11,AF!$B$39:$M$80,M$9)*$E11</f>
        <v>0</v>
      </c>
      <c r="N11" s="1">
        <f>VLOOKUP($F11,AF!$B$39:$M$80,N$9)*$E11</f>
        <v>0</v>
      </c>
      <c r="O11" s="1">
        <f>E11-SUM(G11:N11)</f>
        <v>0</v>
      </c>
      <c r="Q11" s="8">
        <v>0</v>
      </c>
      <c r="R11" s="8">
        <v>0</v>
      </c>
      <c r="S11" s="17">
        <f t="shared" ref="S11:S12" si="2">Q11+R11+O11</f>
        <v>0</v>
      </c>
      <c r="U11" s="118">
        <v>302</v>
      </c>
      <c r="V11" s="67">
        <f>VLOOKUP($U11,AF!$B$39:$M$80,V$9)*G11</f>
        <v>0</v>
      </c>
      <c r="W11" s="67">
        <f>VLOOKUP($U11,AF!$B$39:$M$80,W$9)*H11</f>
        <v>0</v>
      </c>
      <c r="X11" s="67">
        <f>VLOOKUP($U11,AF!$B$39:$M$80,X$9)*I11</f>
        <v>0</v>
      </c>
      <c r="Y11" s="67">
        <f>VLOOKUP($U11,AF!$B$39:$M$80,Y$9)*J11</f>
        <v>0</v>
      </c>
      <c r="Z11" s="67">
        <f>VLOOKUP($U11,AF!$B$39:$M$80,Z$9)*K11</f>
        <v>0</v>
      </c>
      <c r="AA11" s="67">
        <f>VLOOKUP($U11,AF!$B$39:$M$80,AA$9)*L11</f>
        <v>0</v>
      </c>
      <c r="AB11" s="67">
        <f>VLOOKUP($U11,AF!$B$39:$M$80,AB$9)*M11</f>
        <v>0</v>
      </c>
      <c r="AC11" s="67">
        <f>VLOOKUP($U11,AF!$B$39:$M$80,AC$9)*N11</f>
        <v>0</v>
      </c>
      <c r="AD11" s="67">
        <f>E11-SUM(V11:AC11)</f>
        <v>0</v>
      </c>
      <c r="AF11" s="8">
        <f t="shared" si="0"/>
        <v>0</v>
      </c>
      <c r="AG11" s="8">
        <f t="shared" si="0"/>
        <v>0</v>
      </c>
      <c r="AH11" s="67">
        <f t="shared" ref="AH11:AH12" si="3">+AF11+AG11+AD11</f>
        <v>0</v>
      </c>
    </row>
    <row r="12" spans="1:36" x14ac:dyDescent="0.45">
      <c r="A12" s="118">
        <f t="shared" si="1"/>
        <v>4</v>
      </c>
      <c r="B12" s="14">
        <v>303</v>
      </c>
      <c r="C12" s="21" t="s">
        <v>424</v>
      </c>
      <c r="D12" s="21" t="s">
        <v>425</v>
      </c>
      <c r="E12" s="26">
        <v>0</v>
      </c>
      <c r="F12" s="1">
        <v>101</v>
      </c>
      <c r="G12" s="1">
        <f>VLOOKUP($F12,AF!$B$39:$M$80,G$9)*$E12</f>
        <v>0</v>
      </c>
      <c r="H12" s="1">
        <f>VLOOKUP($F12,AF!$B$39:$M$80,H$9)*$E12</f>
        <v>0</v>
      </c>
      <c r="I12" s="1">
        <f>VLOOKUP($F12,AF!$B$39:$M$80,I$9)*$E12</f>
        <v>0</v>
      </c>
      <c r="J12" s="1">
        <f>VLOOKUP($F12,AF!$B$39:$M$80,J$9)*$E12</f>
        <v>0</v>
      </c>
      <c r="K12" s="1">
        <f>VLOOKUP($F12,AF!$B$39:$M$80,K$9)*$E12</f>
        <v>0</v>
      </c>
      <c r="L12" s="1">
        <f>VLOOKUP($F12,AF!$B$39:$M$80,L$9)*$E12</f>
        <v>0</v>
      </c>
      <c r="M12" s="1">
        <f>VLOOKUP($F12,AF!$B$39:$M$80,M$9)*$E12</f>
        <v>0</v>
      </c>
      <c r="N12" s="1">
        <f>VLOOKUP($F12,AF!$B$39:$M$80,N$9)*$E12</f>
        <v>0</v>
      </c>
      <c r="O12" s="1">
        <f>E12-SUM(G12:N12)</f>
        <v>0</v>
      </c>
      <c r="Q12" s="8">
        <v>0</v>
      </c>
      <c r="R12" s="8">
        <v>0</v>
      </c>
      <c r="S12" s="93">
        <f t="shared" si="2"/>
        <v>0</v>
      </c>
      <c r="U12" s="118">
        <v>302</v>
      </c>
      <c r="V12" s="67">
        <f>VLOOKUP($U12,AF!$B$39:$M$80,V$9)*G12</f>
        <v>0</v>
      </c>
      <c r="W12" s="67">
        <f>VLOOKUP($U12,AF!$B$39:$M$80,W$9)*H12</f>
        <v>0</v>
      </c>
      <c r="X12" s="67">
        <f>VLOOKUP($U12,AF!$B$39:$M$80,X$9)*I12</f>
        <v>0</v>
      </c>
      <c r="Y12" s="67">
        <f>VLOOKUP($U12,AF!$B$39:$M$80,Y$9)*J12</f>
        <v>0</v>
      </c>
      <c r="Z12" s="67">
        <f>VLOOKUP($U12,AF!$B$39:$M$80,Z$9)*K12</f>
        <v>0</v>
      </c>
      <c r="AA12" s="67">
        <f>VLOOKUP($U12,AF!$B$39:$M$80,AA$9)*L12</f>
        <v>0</v>
      </c>
      <c r="AB12" s="67">
        <f>VLOOKUP($U12,AF!$B$39:$M$80,AB$9)*M12</f>
        <v>0</v>
      </c>
      <c r="AC12" s="67">
        <f>VLOOKUP($U12,AF!$B$39:$M$80,AC$9)*N12</f>
        <v>0</v>
      </c>
      <c r="AD12" s="67">
        <f>E12-SUM(V12:AC12)</f>
        <v>0</v>
      </c>
      <c r="AF12" s="8">
        <f t="shared" si="0"/>
        <v>0</v>
      </c>
      <c r="AG12" s="8">
        <f t="shared" si="0"/>
        <v>0</v>
      </c>
      <c r="AH12" s="67">
        <f t="shared" si="3"/>
        <v>0</v>
      </c>
    </row>
    <row r="13" spans="1:36" x14ac:dyDescent="0.45">
      <c r="A13" s="118">
        <f t="shared" si="1"/>
        <v>5</v>
      </c>
      <c r="C13" s="21" t="s">
        <v>0</v>
      </c>
      <c r="E13" s="68">
        <f>SUM(E10:E12)</f>
        <v>0</v>
      </c>
      <c r="F13" s="1"/>
      <c r="G13" s="69">
        <f t="shared" ref="G13:O13" si="4">SUM(G10:G12)</f>
        <v>0</v>
      </c>
      <c r="H13" s="69">
        <f t="shared" si="4"/>
        <v>0</v>
      </c>
      <c r="I13" s="69">
        <f t="shared" si="4"/>
        <v>0</v>
      </c>
      <c r="J13" s="69">
        <f t="shared" si="4"/>
        <v>0</v>
      </c>
      <c r="K13" s="69">
        <f t="shared" si="4"/>
        <v>0</v>
      </c>
      <c r="L13" s="69">
        <f t="shared" si="4"/>
        <v>0</v>
      </c>
      <c r="M13" s="69">
        <f t="shared" si="4"/>
        <v>0</v>
      </c>
      <c r="N13" s="69">
        <f t="shared" si="4"/>
        <v>0</v>
      </c>
      <c r="O13" s="69">
        <f t="shared" si="4"/>
        <v>0</v>
      </c>
      <c r="Q13" s="81">
        <f>SUM(Q10:Q12)</f>
        <v>0</v>
      </c>
      <c r="R13" s="81">
        <f>SUM(R10:R12)</f>
        <v>0</v>
      </c>
      <c r="S13" s="68">
        <f>SUM(S10:S12)</f>
        <v>0</v>
      </c>
      <c r="U13" s="118"/>
      <c r="V13" s="69">
        <f t="shared" ref="V13:AD13" si="5">SUM(V10:V12)</f>
        <v>0</v>
      </c>
      <c r="W13" s="69">
        <f t="shared" si="5"/>
        <v>0</v>
      </c>
      <c r="X13" s="69">
        <f t="shared" si="5"/>
        <v>0</v>
      </c>
      <c r="Y13" s="69">
        <f t="shared" si="5"/>
        <v>0</v>
      </c>
      <c r="Z13" s="69">
        <f t="shared" si="5"/>
        <v>0</v>
      </c>
      <c r="AA13" s="69">
        <f t="shared" si="5"/>
        <v>0</v>
      </c>
      <c r="AB13" s="69">
        <f t="shared" si="5"/>
        <v>0</v>
      </c>
      <c r="AC13" s="69">
        <f t="shared" si="5"/>
        <v>0</v>
      </c>
      <c r="AD13" s="69">
        <f t="shared" si="5"/>
        <v>0</v>
      </c>
      <c r="AF13" s="81">
        <f>SUM(AF10:AF12)</f>
        <v>0</v>
      </c>
      <c r="AG13" s="81">
        <f>SUM(AG10:AG12)</f>
        <v>0</v>
      </c>
      <c r="AH13" s="69">
        <f t="shared" ref="AH13" si="6">SUM(AH10:AH12)</f>
        <v>0</v>
      </c>
    </row>
    <row r="14" spans="1:36" x14ac:dyDescent="0.45">
      <c r="A14" s="118">
        <f t="shared" si="1"/>
        <v>6</v>
      </c>
      <c r="E14" s="119"/>
      <c r="G14" s="119"/>
      <c r="H14" s="119"/>
      <c r="I14" s="119"/>
      <c r="J14" s="119"/>
      <c r="K14" s="119"/>
      <c r="L14" s="119"/>
      <c r="M14" s="119"/>
      <c r="N14" s="119"/>
      <c r="O14" s="119"/>
      <c r="Q14" s="75"/>
      <c r="R14" s="75"/>
      <c r="S14" s="119"/>
      <c r="U14" s="118"/>
      <c r="AF14" s="75"/>
      <c r="AG14" s="75"/>
    </row>
    <row r="15" spans="1:36" x14ac:dyDescent="0.45">
      <c r="A15" s="118">
        <f t="shared" si="1"/>
        <v>7</v>
      </c>
      <c r="B15" s="66" t="s">
        <v>413</v>
      </c>
      <c r="C15" s="66"/>
      <c r="E15" s="119"/>
      <c r="G15" s="119"/>
      <c r="H15" s="119"/>
      <c r="I15" s="119"/>
      <c r="J15" s="20"/>
      <c r="K15" s="119"/>
      <c r="L15" s="20"/>
      <c r="M15" s="119"/>
      <c r="N15" s="20"/>
      <c r="O15" s="119"/>
      <c r="Q15" s="75"/>
      <c r="R15" s="8"/>
      <c r="S15" s="119"/>
      <c r="U15" s="118"/>
      <c r="AF15" s="75"/>
      <c r="AG15" s="8"/>
    </row>
    <row r="16" spans="1:36" x14ac:dyDescent="0.45">
      <c r="A16" s="118">
        <f t="shared" si="1"/>
        <v>8</v>
      </c>
      <c r="B16" s="14">
        <v>310</v>
      </c>
      <c r="C16" s="21" t="s">
        <v>28</v>
      </c>
      <c r="D16" s="21" t="s">
        <v>426</v>
      </c>
      <c r="E16" s="25">
        <v>18429437</v>
      </c>
      <c r="F16" s="1">
        <v>101</v>
      </c>
      <c r="G16" s="1">
        <f>VLOOKUP($F16,AF!$B$39:$M$80,G$9)*$E16</f>
        <v>0</v>
      </c>
      <c r="H16" s="1">
        <f>VLOOKUP($F16,AF!$B$39:$M$80,H$9)*$E16</f>
        <v>0</v>
      </c>
      <c r="I16" s="1">
        <f>VLOOKUP($F16,AF!$B$39:$M$80,I$9)*$E16</f>
        <v>0</v>
      </c>
      <c r="J16" s="1">
        <f>VLOOKUP($F16,AF!$B$39:$M$80,J$9)*$E16</f>
        <v>0</v>
      </c>
      <c r="K16" s="1">
        <f>VLOOKUP($F16,AF!$B$39:$M$80,K$9)*$E16</f>
        <v>0</v>
      </c>
      <c r="L16" s="1">
        <f>VLOOKUP($F16,AF!$B$39:$M$80,L$9)*$E16</f>
        <v>0</v>
      </c>
      <c r="M16" s="1">
        <f>VLOOKUP($F16,AF!$B$39:$M$80,M$9)*$E16</f>
        <v>0</v>
      </c>
      <c r="N16" s="1">
        <f>VLOOKUP($F16,AF!$B$39:$M$80,N$9)*$E16</f>
        <v>0</v>
      </c>
      <c r="O16" s="1">
        <f t="shared" ref="O16:O23" si="7">E16-SUM(G16:N16)</f>
        <v>18429437</v>
      </c>
      <c r="Q16" s="8">
        <f t="shared" ref="Q16:R23" si="8">+M16+K16+I16+G16</f>
        <v>0</v>
      </c>
      <c r="R16" s="8">
        <f t="shared" si="8"/>
        <v>0</v>
      </c>
      <c r="S16" s="17">
        <f t="shared" ref="S16:S23" si="9">Q16+R16+O16</f>
        <v>18429437</v>
      </c>
      <c r="U16" s="118">
        <v>302</v>
      </c>
      <c r="V16" s="67">
        <f>VLOOKUP($U16,AF!$B$39:$M$80,V$9)*G16</f>
        <v>0</v>
      </c>
      <c r="W16" s="67">
        <f>VLOOKUP($U16,AF!$B$39:$M$80,W$9)*H16</f>
        <v>0</v>
      </c>
      <c r="X16" s="67">
        <f>VLOOKUP($U16,AF!$B$39:$M$80,X$9)*I16</f>
        <v>0</v>
      </c>
      <c r="Y16" s="67">
        <f>VLOOKUP($U16,AF!$B$39:$M$80,Y$9)*J16</f>
        <v>0</v>
      </c>
      <c r="Z16" s="67">
        <f>VLOOKUP($U16,AF!$B$39:$M$80,Z$9)*K16</f>
        <v>0</v>
      </c>
      <c r="AA16" s="67">
        <f>VLOOKUP($U16,AF!$B$39:$M$80,AA$9)*L16</f>
        <v>0</v>
      </c>
      <c r="AB16" s="67">
        <f>VLOOKUP($U16,AF!$B$39:$M$80,AB$9)*M16</f>
        <v>0</v>
      </c>
      <c r="AC16" s="67">
        <f>VLOOKUP($U16,AF!$B$39:$M$80,AC$9)*N16</f>
        <v>0</v>
      </c>
      <c r="AD16" s="67">
        <f t="shared" ref="AD16:AD23" si="10">E16-SUM(V16:AC16)</f>
        <v>18429437</v>
      </c>
      <c r="AF16" s="8">
        <f t="shared" ref="AF16:AG23" si="11">+AB16+Z16+X16+V16</f>
        <v>0</v>
      </c>
      <c r="AG16" s="8">
        <f t="shared" si="11"/>
        <v>0</v>
      </c>
      <c r="AH16" s="67">
        <f t="shared" ref="AH16:AH23" si="12">+AF16+AG16+AD16</f>
        <v>18429437</v>
      </c>
    </row>
    <row r="17" spans="1:34" x14ac:dyDescent="0.45">
      <c r="A17" s="118">
        <f t="shared" si="1"/>
        <v>9</v>
      </c>
      <c r="B17" s="14">
        <v>311</v>
      </c>
      <c r="C17" s="21" t="s">
        <v>29</v>
      </c>
      <c r="D17" s="21" t="s">
        <v>427</v>
      </c>
      <c r="E17" s="25">
        <v>6942455</v>
      </c>
      <c r="F17" s="1">
        <v>101</v>
      </c>
      <c r="G17" s="1">
        <f>VLOOKUP($F17,AF!$B$39:$M$80,G$9)*$E17</f>
        <v>0</v>
      </c>
      <c r="H17" s="1">
        <f>VLOOKUP($F17,AF!$B$39:$M$80,H$9)*$E17</f>
        <v>0</v>
      </c>
      <c r="I17" s="1">
        <f>VLOOKUP($F17,AF!$B$39:$M$80,I$9)*$E17</f>
        <v>0</v>
      </c>
      <c r="J17" s="1">
        <f>VLOOKUP($F17,AF!$B$39:$M$80,J$9)*$E17</f>
        <v>0</v>
      </c>
      <c r="K17" s="1">
        <f>VLOOKUP($F17,AF!$B$39:$M$80,K$9)*$E17</f>
        <v>0</v>
      </c>
      <c r="L17" s="1">
        <f>VLOOKUP($F17,AF!$B$39:$M$80,L$9)*$E17</f>
        <v>0</v>
      </c>
      <c r="M17" s="1">
        <f>VLOOKUP($F17,AF!$B$39:$M$80,M$9)*$E17</f>
        <v>0</v>
      </c>
      <c r="N17" s="1">
        <f>VLOOKUP($F17,AF!$B$39:$M$80,N$9)*$E17</f>
        <v>0</v>
      </c>
      <c r="O17" s="1">
        <f t="shared" si="7"/>
        <v>6942455</v>
      </c>
      <c r="Q17" s="8">
        <f t="shared" si="8"/>
        <v>0</v>
      </c>
      <c r="R17" s="8">
        <f t="shared" si="8"/>
        <v>0</v>
      </c>
      <c r="S17" s="17">
        <f t="shared" si="9"/>
        <v>6942455</v>
      </c>
      <c r="U17" s="118">
        <v>302</v>
      </c>
      <c r="V17" s="67">
        <f>VLOOKUP($U17,AF!$B$39:$M$80,V$9)*G17</f>
        <v>0</v>
      </c>
      <c r="W17" s="67">
        <f>VLOOKUP($U17,AF!$B$39:$M$80,W$9)*H17</f>
        <v>0</v>
      </c>
      <c r="X17" s="67">
        <f>VLOOKUP($U17,AF!$B$39:$M$80,X$9)*I17</f>
        <v>0</v>
      </c>
      <c r="Y17" s="67">
        <f>VLOOKUP($U17,AF!$B$39:$M$80,Y$9)*J17</f>
        <v>0</v>
      </c>
      <c r="Z17" s="67">
        <f>VLOOKUP($U17,AF!$B$39:$M$80,Z$9)*K17</f>
        <v>0</v>
      </c>
      <c r="AA17" s="67">
        <f>VLOOKUP($U17,AF!$B$39:$M$80,AA$9)*L17</f>
        <v>0</v>
      </c>
      <c r="AB17" s="67">
        <f>VLOOKUP($U17,AF!$B$39:$M$80,AB$9)*M17</f>
        <v>0</v>
      </c>
      <c r="AC17" s="67">
        <f>VLOOKUP($U17,AF!$B$39:$M$80,AC$9)*N17</f>
        <v>0</v>
      </c>
      <c r="AD17" s="67">
        <f t="shared" si="10"/>
        <v>6942455</v>
      </c>
      <c r="AF17" s="8">
        <f t="shared" si="11"/>
        <v>0</v>
      </c>
      <c r="AG17" s="8">
        <f t="shared" si="11"/>
        <v>0</v>
      </c>
      <c r="AH17" s="67">
        <f t="shared" si="12"/>
        <v>6942455</v>
      </c>
    </row>
    <row r="18" spans="1:34" x14ac:dyDescent="0.45">
      <c r="A18" s="118">
        <f t="shared" si="1"/>
        <v>10</v>
      </c>
      <c r="B18" s="14">
        <v>312</v>
      </c>
      <c r="C18" s="21" t="s">
        <v>428</v>
      </c>
      <c r="D18" s="21" t="s">
        <v>429</v>
      </c>
      <c r="E18" s="25">
        <v>96849320</v>
      </c>
      <c r="F18" s="1">
        <v>101</v>
      </c>
      <c r="G18" s="1">
        <f>VLOOKUP($F18,AF!$B$39:$M$80,G$9)*$E18</f>
        <v>0</v>
      </c>
      <c r="H18" s="1">
        <f>VLOOKUP($F18,AF!$B$39:$M$80,H$9)*$E18</f>
        <v>0</v>
      </c>
      <c r="I18" s="1">
        <f>VLOOKUP($F18,AF!$B$39:$M$80,I$9)*$E18</f>
        <v>0</v>
      </c>
      <c r="J18" s="1">
        <f>VLOOKUP($F18,AF!$B$39:$M$80,J$9)*$E18</f>
        <v>0</v>
      </c>
      <c r="K18" s="1">
        <f>VLOOKUP($F18,AF!$B$39:$M$80,K$9)*$E18</f>
        <v>0</v>
      </c>
      <c r="L18" s="1">
        <f>VLOOKUP($F18,AF!$B$39:$M$80,L$9)*$E18</f>
        <v>0</v>
      </c>
      <c r="M18" s="1">
        <f>VLOOKUP($F18,AF!$B$39:$M$80,M$9)*$E18</f>
        <v>0</v>
      </c>
      <c r="N18" s="1">
        <f>VLOOKUP($F18,AF!$B$39:$M$80,N$9)*$E18</f>
        <v>0</v>
      </c>
      <c r="O18" s="1">
        <f t="shared" si="7"/>
        <v>96849320</v>
      </c>
      <c r="Q18" s="8">
        <f t="shared" si="8"/>
        <v>0</v>
      </c>
      <c r="R18" s="8">
        <f t="shared" si="8"/>
        <v>0</v>
      </c>
      <c r="S18" s="17">
        <f t="shared" si="9"/>
        <v>96849320</v>
      </c>
      <c r="U18" s="118">
        <v>302</v>
      </c>
      <c r="V18" s="67">
        <f>VLOOKUP($U18,AF!$B$39:$M$80,V$9)*G18</f>
        <v>0</v>
      </c>
      <c r="W18" s="67">
        <f>VLOOKUP($U18,AF!$B$39:$M$80,W$9)*H18</f>
        <v>0</v>
      </c>
      <c r="X18" s="67">
        <f>VLOOKUP($U18,AF!$B$39:$M$80,X$9)*I18</f>
        <v>0</v>
      </c>
      <c r="Y18" s="67">
        <f>VLOOKUP($U18,AF!$B$39:$M$80,Y$9)*J18</f>
        <v>0</v>
      </c>
      <c r="Z18" s="67">
        <f>VLOOKUP($U18,AF!$B$39:$M$80,Z$9)*K18</f>
        <v>0</v>
      </c>
      <c r="AA18" s="67">
        <f>VLOOKUP($U18,AF!$B$39:$M$80,AA$9)*L18</f>
        <v>0</v>
      </c>
      <c r="AB18" s="67">
        <f>VLOOKUP($U18,AF!$B$39:$M$80,AB$9)*M18</f>
        <v>0</v>
      </c>
      <c r="AC18" s="67">
        <f>VLOOKUP($U18,AF!$B$39:$M$80,AC$9)*N18</f>
        <v>0</v>
      </c>
      <c r="AD18" s="67">
        <f t="shared" si="10"/>
        <v>96849320</v>
      </c>
      <c r="AF18" s="8">
        <f t="shared" si="11"/>
        <v>0</v>
      </c>
      <c r="AG18" s="8">
        <f t="shared" si="11"/>
        <v>0</v>
      </c>
      <c r="AH18" s="67">
        <f t="shared" si="12"/>
        <v>96849320</v>
      </c>
    </row>
    <row r="19" spans="1:34" x14ac:dyDescent="0.45">
      <c r="A19" s="118">
        <f t="shared" si="1"/>
        <v>11</v>
      </c>
      <c r="B19" s="14">
        <v>313</v>
      </c>
      <c r="C19" s="21" t="s">
        <v>430</v>
      </c>
      <c r="D19" s="21" t="s">
        <v>431</v>
      </c>
      <c r="E19" s="25">
        <v>0</v>
      </c>
      <c r="F19" s="1">
        <v>101</v>
      </c>
      <c r="G19" s="1">
        <f>VLOOKUP($F19,AF!$B$39:$M$80,G$9)*$E19</f>
        <v>0</v>
      </c>
      <c r="H19" s="1">
        <f>VLOOKUP($F19,AF!$B$39:$M$80,H$9)*$E19</f>
        <v>0</v>
      </c>
      <c r="I19" s="1">
        <f>VLOOKUP($F19,AF!$B$39:$M$80,I$9)*$E19</f>
        <v>0</v>
      </c>
      <c r="J19" s="1">
        <f>VLOOKUP($F19,AF!$B$39:$M$80,J$9)*$E19</f>
        <v>0</v>
      </c>
      <c r="K19" s="1">
        <f>VLOOKUP($F19,AF!$B$39:$M$80,K$9)*$E19</f>
        <v>0</v>
      </c>
      <c r="L19" s="1">
        <f>VLOOKUP($F19,AF!$B$39:$M$80,L$9)*$E19</f>
        <v>0</v>
      </c>
      <c r="M19" s="1">
        <f>VLOOKUP($F19,AF!$B$39:$M$80,M$9)*$E19</f>
        <v>0</v>
      </c>
      <c r="N19" s="1">
        <f>VLOOKUP($F19,AF!$B$39:$M$80,N$9)*$E19</f>
        <v>0</v>
      </c>
      <c r="O19" s="1">
        <f t="shared" si="7"/>
        <v>0</v>
      </c>
      <c r="Q19" s="8">
        <f t="shared" si="8"/>
        <v>0</v>
      </c>
      <c r="R19" s="8">
        <f t="shared" si="8"/>
        <v>0</v>
      </c>
      <c r="S19" s="17">
        <f t="shared" si="9"/>
        <v>0</v>
      </c>
      <c r="U19" s="118">
        <v>302</v>
      </c>
      <c r="V19" s="67">
        <f>VLOOKUP($U19,AF!$B$39:$M$80,V$9)*G19</f>
        <v>0</v>
      </c>
      <c r="W19" s="67">
        <f>VLOOKUP($U19,AF!$B$39:$M$80,W$9)*H19</f>
        <v>0</v>
      </c>
      <c r="X19" s="67">
        <f>VLOOKUP($U19,AF!$B$39:$M$80,X$9)*I19</f>
        <v>0</v>
      </c>
      <c r="Y19" s="67">
        <f>VLOOKUP($U19,AF!$B$39:$M$80,Y$9)*J19</f>
        <v>0</v>
      </c>
      <c r="Z19" s="67">
        <f>VLOOKUP($U19,AF!$B$39:$M$80,Z$9)*K19</f>
        <v>0</v>
      </c>
      <c r="AA19" s="67">
        <f>VLOOKUP($U19,AF!$B$39:$M$80,AA$9)*L19</f>
        <v>0</v>
      </c>
      <c r="AB19" s="67">
        <f>VLOOKUP($U19,AF!$B$39:$M$80,AB$9)*M19</f>
        <v>0</v>
      </c>
      <c r="AC19" s="67">
        <f>VLOOKUP($U19,AF!$B$39:$M$80,AC$9)*N19</f>
        <v>0</v>
      </c>
      <c r="AD19" s="67">
        <f t="shared" si="10"/>
        <v>0</v>
      </c>
      <c r="AF19" s="8">
        <f t="shared" si="11"/>
        <v>0</v>
      </c>
      <c r="AG19" s="8">
        <f t="shared" si="11"/>
        <v>0</v>
      </c>
      <c r="AH19" s="67">
        <f t="shared" si="12"/>
        <v>0</v>
      </c>
    </row>
    <row r="20" spans="1:34" x14ac:dyDescent="0.45">
      <c r="A20" s="118">
        <f t="shared" si="1"/>
        <v>12</v>
      </c>
      <c r="B20" s="14">
        <v>314</v>
      </c>
      <c r="C20" s="21" t="s">
        <v>432</v>
      </c>
      <c r="D20" s="21" t="s">
        <v>433</v>
      </c>
      <c r="E20" s="25">
        <v>72369375</v>
      </c>
      <c r="F20" s="1">
        <v>101</v>
      </c>
      <c r="G20" s="1">
        <f>VLOOKUP($F20,AF!$B$39:$M$80,G$9)*$E20</f>
        <v>0</v>
      </c>
      <c r="H20" s="1">
        <f>VLOOKUP($F20,AF!$B$39:$M$80,H$9)*$E20</f>
        <v>0</v>
      </c>
      <c r="I20" s="1">
        <f>VLOOKUP($F20,AF!$B$39:$M$80,I$9)*$E20</f>
        <v>0</v>
      </c>
      <c r="J20" s="1">
        <f>VLOOKUP($F20,AF!$B$39:$M$80,J$9)*$E20</f>
        <v>0</v>
      </c>
      <c r="K20" s="1">
        <f>VLOOKUP($F20,AF!$B$39:$M$80,K$9)*$E20</f>
        <v>0</v>
      </c>
      <c r="L20" s="1">
        <f>VLOOKUP($F20,AF!$B$39:$M$80,L$9)*$E20</f>
        <v>0</v>
      </c>
      <c r="M20" s="1">
        <f>VLOOKUP($F20,AF!$B$39:$M$80,M$9)*$E20</f>
        <v>0</v>
      </c>
      <c r="N20" s="1">
        <f>VLOOKUP($F20,AF!$B$39:$M$80,N$9)*$E20</f>
        <v>0</v>
      </c>
      <c r="O20" s="1">
        <f t="shared" si="7"/>
        <v>72369375</v>
      </c>
      <c r="Q20" s="8">
        <f t="shared" si="8"/>
        <v>0</v>
      </c>
      <c r="R20" s="8">
        <f t="shared" si="8"/>
        <v>0</v>
      </c>
      <c r="S20" s="17">
        <f t="shared" si="9"/>
        <v>72369375</v>
      </c>
      <c r="U20" s="118">
        <v>302</v>
      </c>
      <c r="V20" s="67">
        <f>VLOOKUP($U20,AF!$B$39:$M$80,V$9)*G20</f>
        <v>0</v>
      </c>
      <c r="W20" s="67">
        <f>VLOOKUP($U20,AF!$B$39:$M$80,W$9)*H20</f>
        <v>0</v>
      </c>
      <c r="X20" s="67">
        <f>VLOOKUP($U20,AF!$B$39:$M$80,X$9)*I20</f>
        <v>0</v>
      </c>
      <c r="Y20" s="67">
        <f>VLOOKUP($U20,AF!$B$39:$M$80,Y$9)*J20</f>
        <v>0</v>
      </c>
      <c r="Z20" s="67">
        <f>VLOOKUP($U20,AF!$B$39:$M$80,Z$9)*K20</f>
        <v>0</v>
      </c>
      <c r="AA20" s="67">
        <f>VLOOKUP($U20,AF!$B$39:$M$80,AA$9)*L20</f>
        <v>0</v>
      </c>
      <c r="AB20" s="67">
        <f>VLOOKUP($U20,AF!$B$39:$M$80,AB$9)*M20</f>
        <v>0</v>
      </c>
      <c r="AC20" s="67">
        <f>VLOOKUP($U20,AF!$B$39:$M$80,AC$9)*N20</f>
        <v>0</v>
      </c>
      <c r="AD20" s="67">
        <f t="shared" si="10"/>
        <v>72369375</v>
      </c>
      <c r="AF20" s="8">
        <f t="shared" si="11"/>
        <v>0</v>
      </c>
      <c r="AG20" s="8">
        <f t="shared" si="11"/>
        <v>0</v>
      </c>
      <c r="AH20" s="67">
        <f t="shared" si="12"/>
        <v>72369375</v>
      </c>
    </row>
    <row r="21" spans="1:34" x14ac:dyDescent="0.45">
      <c r="A21" s="118">
        <f t="shared" si="1"/>
        <v>13</v>
      </c>
      <c r="B21" s="14">
        <v>315</v>
      </c>
      <c r="C21" s="21" t="s">
        <v>434</v>
      </c>
      <c r="D21" s="21" t="s">
        <v>435</v>
      </c>
      <c r="E21" s="25">
        <v>29765824</v>
      </c>
      <c r="F21" s="1">
        <v>101</v>
      </c>
      <c r="G21" s="1">
        <f>VLOOKUP($F21,AF!$B$39:$M$80,G$9)*$E21</f>
        <v>0</v>
      </c>
      <c r="H21" s="1">
        <f>VLOOKUP($F21,AF!$B$39:$M$80,H$9)*$E21</f>
        <v>0</v>
      </c>
      <c r="I21" s="1">
        <f>VLOOKUP($F21,AF!$B$39:$M$80,I$9)*$E21</f>
        <v>0</v>
      </c>
      <c r="J21" s="1">
        <f>VLOOKUP($F21,AF!$B$39:$M$80,J$9)*$E21</f>
        <v>0</v>
      </c>
      <c r="K21" s="1">
        <f>VLOOKUP($F21,AF!$B$39:$M$80,K$9)*$E21</f>
        <v>0</v>
      </c>
      <c r="L21" s="1">
        <f>VLOOKUP($F21,AF!$B$39:$M$80,L$9)*$E21</f>
        <v>0</v>
      </c>
      <c r="M21" s="1">
        <f>VLOOKUP($F21,AF!$B$39:$M$80,M$9)*$E21</f>
        <v>0</v>
      </c>
      <c r="N21" s="1">
        <f>VLOOKUP($F21,AF!$B$39:$M$80,N$9)*$E21</f>
        <v>0</v>
      </c>
      <c r="O21" s="1">
        <f t="shared" si="7"/>
        <v>29765824</v>
      </c>
      <c r="Q21" s="8">
        <f t="shared" si="8"/>
        <v>0</v>
      </c>
      <c r="R21" s="8">
        <f t="shared" si="8"/>
        <v>0</v>
      </c>
      <c r="S21" s="17">
        <f t="shared" si="9"/>
        <v>29765824</v>
      </c>
      <c r="U21" s="118">
        <v>302</v>
      </c>
      <c r="V21" s="67">
        <f>VLOOKUP($U21,AF!$B$39:$M$80,V$9)*G21</f>
        <v>0</v>
      </c>
      <c r="W21" s="67">
        <f>VLOOKUP($U21,AF!$B$39:$M$80,W$9)*H21</f>
        <v>0</v>
      </c>
      <c r="X21" s="67">
        <f>VLOOKUP($U21,AF!$B$39:$M$80,X$9)*I21</f>
        <v>0</v>
      </c>
      <c r="Y21" s="67">
        <f>VLOOKUP($U21,AF!$B$39:$M$80,Y$9)*J21</f>
        <v>0</v>
      </c>
      <c r="Z21" s="67">
        <f>VLOOKUP($U21,AF!$B$39:$M$80,Z$9)*K21</f>
        <v>0</v>
      </c>
      <c r="AA21" s="67">
        <f>VLOOKUP($U21,AF!$B$39:$M$80,AA$9)*L21</f>
        <v>0</v>
      </c>
      <c r="AB21" s="67">
        <f>VLOOKUP($U21,AF!$B$39:$M$80,AB$9)*M21</f>
        <v>0</v>
      </c>
      <c r="AC21" s="67">
        <f>VLOOKUP($U21,AF!$B$39:$M$80,AC$9)*N21</f>
        <v>0</v>
      </c>
      <c r="AD21" s="67">
        <f t="shared" si="10"/>
        <v>29765824</v>
      </c>
      <c r="AF21" s="8">
        <f t="shared" si="11"/>
        <v>0</v>
      </c>
      <c r="AG21" s="8">
        <f t="shared" si="11"/>
        <v>0</v>
      </c>
      <c r="AH21" s="67">
        <f t="shared" si="12"/>
        <v>29765824</v>
      </c>
    </row>
    <row r="22" spans="1:34" x14ac:dyDescent="0.45">
      <c r="A22" s="118">
        <f t="shared" si="1"/>
        <v>14</v>
      </c>
      <c r="B22" s="14">
        <v>316</v>
      </c>
      <c r="C22" s="21" t="s">
        <v>436</v>
      </c>
      <c r="D22" s="21" t="s">
        <v>437</v>
      </c>
      <c r="E22" s="25">
        <v>6155542</v>
      </c>
      <c r="F22" s="1">
        <v>101</v>
      </c>
      <c r="G22" s="1">
        <f>VLOOKUP($F22,AF!$B$39:$M$80,G$9)*$E22</f>
        <v>0</v>
      </c>
      <c r="H22" s="1">
        <f>VLOOKUP($F22,AF!$B$39:$M$80,H$9)*$E22</f>
        <v>0</v>
      </c>
      <c r="I22" s="1">
        <f>VLOOKUP($F22,AF!$B$39:$M$80,I$9)*$E22</f>
        <v>0</v>
      </c>
      <c r="J22" s="1">
        <f>VLOOKUP($F22,AF!$B$39:$M$80,J$9)*$E22</f>
        <v>0</v>
      </c>
      <c r="K22" s="1">
        <f>VLOOKUP($F22,AF!$B$39:$M$80,K$9)*$E22</f>
        <v>0</v>
      </c>
      <c r="L22" s="1">
        <f>VLOOKUP($F22,AF!$B$39:$M$80,L$9)*$E22</f>
        <v>0</v>
      </c>
      <c r="M22" s="1">
        <f>VLOOKUP($F22,AF!$B$39:$M$80,M$9)*$E22</f>
        <v>0</v>
      </c>
      <c r="N22" s="1">
        <f>VLOOKUP($F22,AF!$B$39:$M$80,N$9)*$E22</f>
        <v>0</v>
      </c>
      <c r="O22" s="1">
        <f t="shared" si="7"/>
        <v>6155542</v>
      </c>
      <c r="Q22" s="8">
        <f t="shared" si="8"/>
        <v>0</v>
      </c>
      <c r="R22" s="8">
        <f t="shared" si="8"/>
        <v>0</v>
      </c>
      <c r="S22" s="17">
        <f t="shared" si="9"/>
        <v>6155542</v>
      </c>
      <c r="U22" s="118">
        <v>302</v>
      </c>
      <c r="V22" s="67">
        <f>VLOOKUP($U22,AF!$B$39:$M$80,V$9)*G22</f>
        <v>0</v>
      </c>
      <c r="W22" s="67">
        <f>VLOOKUP($U22,AF!$B$39:$M$80,W$9)*H22</f>
        <v>0</v>
      </c>
      <c r="X22" s="67">
        <f>VLOOKUP($U22,AF!$B$39:$M$80,X$9)*I22</f>
        <v>0</v>
      </c>
      <c r="Y22" s="67">
        <f>VLOOKUP($U22,AF!$B$39:$M$80,Y$9)*J22</f>
        <v>0</v>
      </c>
      <c r="Z22" s="67">
        <f>VLOOKUP($U22,AF!$B$39:$M$80,Z$9)*K22</f>
        <v>0</v>
      </c>
      <c r="AA22" s="67">
        <f>VLOOKUP($U22,AF!$B$39:$M$80,AA$9)*L22</f>
        <v>0</v>
      </c>
      <c r="AB22" s="67">
        <f>VLOOKUP($U22,AF!$B$39:$M$80,AB$9)*M22</f>
        <v>0</v>
      </c>
      <c r="AC22" s="67">
        <f>VLOOKUP($U22,AF!$B$39:$M$80,AC$9)*N22</f>
        <v>0</v>
      </c>
      <c r="AD22" s="67">
        <f t="shared" si="10"/>
        <v>6155542</v>
      </c>
      <c r="AF22" s="8">
        <f t="shared" si="11"/>
        <v>0</v>
      </c>
      <c r="AG22" s="8">
        <f t="shared" si="11"/>
        <v>0</v>
      </c>
      <c r="AH22" s="67">
        <f t="shared" si="12"/>
        <v>6155542</v>
      </c>
    </row>
    <row r="23" spans="1:34" x14ac:dyDescent="0.45">
      <c r="A23" s="118">
        <f t="shared" si="1"/>
        <v>15</v>
      </c>
      <c r="B23" s="14">
        <v>317</v>
      </c>
      <c r="C23" s="21" t="s">
        <v>438</v>
      </c>
      <c r="D23" s="21" t="s">
        <v>439</v>
      </c>
      <c r="E23" s="26">
        <v>0</v>
      </c>
      <c r="F23" s="1">
        <v>101</v>
      </c>
      <c r="G23" s="1">
        <f>VLOOKUP($F23,AF!$B$39:$M$80,G$9)*$E23</f>
        <v>0</v>
      </c>
      <c r="H23" s="1">
        <f>VLOOKUP($F23,AF!$B$39:$M$80,H$9)*$E23</f>
        <v>0</v>
      </c>
      <c r="I23" s="1">
        <f>VLOOKUP($F23,AF!$B$39:$M$80,I$9)*$E23</f>
        <v>0</v>
      </c>
      <c r="J23" s="1">
        <f>VLOOKUP($F23,AF!$B$39:$M$80,J$9)*$E23</f>
        <v>0</v>
      </c>
      <c r="K23" s="1">
        <f>VLOOKUP($F23,AF!$B$39:$M$80,K$9)*$E23</f>
        <v>0</v>
      </c>
      <c r="L23" s="1">
        <f>VLOOKUP($F23,AF!$B$39:$M$80,L$9)*$E23</f>
        <v>0</v>
      </c>
      <c r="M23" s="1">
        <f>VLOOKUP($F23,AF!$B$39:$M$80,M$9)*$E23</f>
        <v>0</v>
      </c>
      <c r="N23" s="1">
        <f>VLOOKUP($F23,AF!$B$39:$M$80,N$9)*$E23</f>
        <v>0</v>
      </c>
      <c r="O23" s="1">
        <f t="shared" si="7"/>
        <v>0</v>
      </c>
      <c r="Q23" s="8">
        <f t="shared" si="8"/>
        <v>0</v>
      </c>
      <c r="R23" s="8">
        <f t="shared" si="8"/>
        <v>0</v>
      </c>
      <c r="S23" s="93">
        <f t="shared" si="9"/>
        <v>0</v>
      </c>
      <c r="U23" s="118">
        <v>302</v>
      </c>
      <c r="V23" s="67">
        <f>VLOOKUP($U23,AF!$B$39:$M$80,V$9)*G23</f>
        <v>0</v>
      </c>
      <c r="W23" s="67">
        <f>VLOOKUP($U23,AF!$B$39:$M$80,W$9)*H23</f>
        <v>0</v>
      </c>
      <c r="X23" s="67">
        <f>VLOOKUP($U23,AF!$B$39:$M$80,X$9)*I23</f>
        <v>0</v>
      </c>
      <c r="Y23" s="67">
        <f>VLOOKUP($U23,AF!$B$39:$M$80,Y$9)*J23</f>
        <v>0</v>
      </c>
      <c r="Z23" s="67">
        <f>VLOOKUP($U23,AF!$B$39:$M$80,Z$9)*K23</f>
        <v>0</v>
      </c>
      <c r="AA23" s="67">
        <f>VLOOKUP($U23,AF!$B$39:$M$80,AA$9)*L23</f>
        <v>0</v>
      </c>
      <c r="AB23" s="67">
        <f>VLOOKUP($U23,AF!$B$39:$M$80,AB$9)*M23</f>
        <v>0</v>
      </c>
      <c r="AC23" s="67">
        <f>VLOOKUP($U23,AF!$B$39:$M$80,AC$9)*N23</f>
        <v>0</v>
      </c>
      <c r="AD23" s="67">
        <f t="shared" si="10"/>
        <v>0</v>
      </c>
      <c r="AF23" s="8">
        <f t="shared" si="11"/>
        <v>0</v>
      </c>
      <c r="AG23" s="8">
        <f t="shared" si="11"/>
        <v>0</v>
      </c>
      <c r="AH23" s="67">
        <f t="shared" si="12"/>
        <v>0</v>
      </c>
    </row>
    <row r="24" spans="1:34" x14ac:dyDescent="0.45">
      <c r="A24" s="118">
        <f t="shared" si="1"/>
        <v>16</v>
      </c>
      <c r="C24" s="21" t="s">
        <v>0</v>
      </c>
      <c r="E24" s="68">
        <f>SUM(E16:E23)</f>
        <v>230511953</v>
      </c>
      <c r="F24" s="1"/>
      <c r="G24" s="69">
        <f t="shared" ref="G24:O24" si="13">SUM(G16:G23)</f>
        <v>0</v>
      </c>
      <c r="H24" s="69">
        <f t="shared" si="13"/>
        <v>0</v>
      </c>
      <c r="I24" s="69">
        <f t="shared" si="13"/>
        <v>0</v>
      </c>
      <c r="J24" s="69">
        <f t="shared" si="13"/>
        <v>0</v>
      </c>
      <c r="K24" s="69">
        <f t="shared" si="13"/>
        <v>0</v>
      </c>
      <c r="L24" s="69">
        <f t="shared" si="13"/>
        <v>0</v>
      </c>
      <c r="M24" s="69">
        <f t="shared" si="13"/>
        <v>0</v>
      </c>
      <c r="N24" s="69">
        <f t="shared" si="13"/>
        <v>0</v>
      </c>
      <c r="O24" s="69">
        <f t="shared" si="13"/>
        <v>230511953</v>
      </c>
      <c r="Q24" s="81">
        <f>SUM(Q16:Q23)</f>
        <v>0</v>
      </c>
      <c r="R24" s="81">
        <f>SUM(R16:R23)</f>
        <v>0</v>
      </c>
      <c r="S24" s="68">
        <f>SUM(S16:S23)</f>
        <v>230511953</v>
      </c>
      <c r="U24" s="118"/>
      <c r="V24" s="69">
        <f t="shared" ref="V24:AD24" si="14">SUM(V16:V23)</f>
        <v>0</v>
      </c>
      <c r="W24" s="69">
        <f t="shared" si="14"/>
        <v>0</v>
      </c>
      <c r="X24" s="69">
        <f t="shared" si="14"/>
        <v>0</v>
      </c>
      <c r="Y24" s="69">
        <f t="shared" si="14"/>
        <v>0</v>
      </c>
      <c r="Z24" s="69">
        <f t="shared" si="14"/>
        <v>0</v>
      </c>
      <c r="AA24" s="69">
        <f t="shared" si="14"/>
        <v>0</v>
      </c>
      <c r="AB24" s="69">
        <f t="shared" si="14"/>
        <v>0</v>
      </c>
      <c r="AC24" s="69">
        <f t="shared" si="14"/>
        <v>0</v>
      </c>
      <c r="AD24" s="69">
        <f t="shared" si="14"/>
        <v>230511953</v>
      </c>
      <c r="AF24" s="81">
        <f>SUM(AF16:AF23)</f>
        <v>0</v>
      </c>
      <c r="AG24" s="81">
        <f>SUM(AG16:AG23)</f>
        <v>0</v>
      </c>
      <c r="AH24" s="69">
        <f t="shared" ref="AH24" si="15">SUM(AH16:AH23)</f>
        <v>230511953</v>
      </c>
    </row>
    <row r="25" spans="1:34" x14ac:dyDescent="0.45">
      <c r="A25" s="118">
        <f t="shared" si="1"/>
        <v>17</v>
      </c>
      <c r="E25" s="119"/>
      <c r="G25" s="119"/>
      <c r="H25" s="119"/>
      <c r="I25" s="119"/>
      <c r="J25" s="119"/>
      <c r="K25" s="119"/>
      <c r="L25" s="119"/>
      <c r="M25" s="119"/>
      <c r="N25" s="119"/>
      <c r="O25" s="119"/>
      <c r="Q25" s="75"/>
      <c r="R25" s="75"/>
      <c r="S25" s="119"/>
      <c r="U25" s="118"/>
      <c r="AF25" s="75"/>
      <c r="AG25" s="75"/>
    </row>
    <row r="26" spans="1:34" x14ac:dyDescent="0.45">
      <c r="A26" s="118">
        <f t="shared" si="1"/>
        <v>18</v>
      </c>
      <c r="B26" s="66" t="s">
        <v>75</v>
      </c>
      <c r="C26" s="66"/>
      <c r="E26" s="119"/>
      <c r="G26" s="119"/>
      <c r="H26" s="119"/>
      <c r="I26" s="119"/>
      <c r="J26" s="119"/>
      <c r="K26" s="119"/>
      <c r="L26" s="119"/>
      <c r="M26" s="119"/>
      <c r="N26" s="119"/>
      <c r="O26" s="119"/>
      <c r="Q26" s="75"/>
      <c r="R26" s="75"/>
      <c r="S26" s="17"/>
      <c r="U26" s="118"/>
      <c r="AF26" s="75"/>
      <c r="AG26" s="75"/>
    </row>
    <row r="27" spans="1:34" x14ac:dyDescent="0.45">
      <c r="A27" s="118">
        <f t="shared" si="1"/>
        <v>19</v>
      </c>
      <c r="B27" s="78">
        <v>340</v>
      </c>
      <c r="C27" s="2" t="s">
        <v>28</v>
      </c>
      <c r="D27" s="21" t="s">
        <v>440</v>
      </c>
      <c r="E27" s="25">
        <v>1631440</v>
      </c>
      <c r="F27" s="1">
        <v>101</v>
      </c>
      <c r="G27" s="1">
        <f>VLOOKUP($F27,AF!$B$39:$M$80,G$9)*$E27</f>
        <v>0</v>
      </c>
      <c r="H27" s="1">
        <f>VLOOKUP($F27,AF!$B$39:$M$80,H$9)*$E27</f>
        <v>0</v>
      </c>
      <c r="I27" s="1">
        <f>VLOOKUP($F27,AF!$B$39:$M$80,I$9)*$E27</f>
        <v>0</v>
      </c>
      <c r="J27" s="1">
        <f>VLOOKUP($F27,AF!$B$39:$M$80,J$9)*$E27</f>
        <v>0</v>
      </c>
      <c r="K27" s="1">
        <f>VLOOKUP($F27,AF!$B$39:$M$80,K$9)*$E27</f>
        <v>0</v>
      </c>
      <c r="L27" s="1">
        <f>VLOOKUP($F27,AF!$B$39:$M$80,L$9)*$E27</f>
        <v>0</v>
      </c>
      <c r="M27" s="1">
        <f>VLOOKUP($F27,AF!$B$39:$M$80,M$9)*$E27</f>
        <v>0</v>
      </c>
      <c r="N27" s="1">
        <f>VLOOKUP($F27,AF!$B$39:$M$80,N$9)*$E27</f>
        <v>0</v>
      </c>
      <c r="O27" s="1">
        <f t="shared" ref="O27:O34" si="16">E27-SUM(G27:N27)</f>
        <v>1631440</v>
      </c>
      <c r="Q27" s="8">
        <f t="shared" ref="Q27:R34" si="17">+M27+K27+I27+G27</f>
        <v>0</v>
      </c>
      <c r="R27" s="8">
        <f t="shared" si="17"/>
        <v>0</v>
      </c>
      <c r="S27" s="17">
        <f t="shared" ref="S27:S34" si="18">Q27+R27+O27</f>
        <v>1631440</v>
      </c>
      <c r="U27" s="118">
        <v>302</v>
      </c>
      <c r="V27" s="67">
        <f>VLOOKUP($U27,AF!$B$39:$M$80,V$9)*G27</f>
        <v>0</v>
      </c>
      <c r="W27" s="67">
        <f>VLOOKUP($U27,AF!$B$39:$M$80,W$9)*H27</f>
        <v>0</v>
      </c>
      <c r="X27" s="67">
        <f>VLOOKUP($U27,AF!$B$39:$M$80,X$9)*I27</f>
        <v>0</v>
      </c>
      <c r="Y27" s="67">
        <f>VLOOKUP($U27,AF!$B$39:$M$80,Y$9)*J27</f>
        <v>0</v>
      </c>
      <c r="Z27" s="67">
        <f>VLOOKUP($U27,AF!$B$39:$M$80,Z$9)*K27</f>
        <v>0</v>
      </c>
      <c r="AA27" s="67">
        <f>VLOOKUP($U27,AF!$B$39:$M$80,AA$9)*L27</f>
        <v>0</v>
      </c>
      <c r="AB27" s="67">
        <f>VLOOKUP($U27,AF!$B$39:$M$80,AB$9)*M27</f>
        <v>0</v>
      </c>
      <c r="AC27" s="67">
        <f>VLOOKUP($U27,AF!$B$39:$M$80,AC$9)*N27</f>
        <v>0</v>
      </c>
      <c r="AD27" s="67">
        <f t="shared" ref="AD27:AD34" si="19">E27-SUM(V27:AC27)</f>
        <v>1631440</v>
      </c>
      <c r="AF27" s="8">
        <f t="shared" ref="AF27:AG34" si="20">+AB27+Z27+X27+V27</f>
        <v>0</v>
      </c>
      <c r="AG27" s="8">
        <f t="shared" si="20"/>
        <v>0</v>
      </c>
      <c r="AH27" s="67">
        <f t="shared" ref="AH27:AH34" si="21">+AF27+AG27+AD27</f>
        <v>1631440</v>
      </c>
    </row>
    <row r="28" spans="1:34" x14ac:dyDescent="0.45">
      <c r="A28" s="118">
        <f t="shared" si="1"/>
        <v>20</v>
      </c>
      <c r="B28" s="14">
        <v>341</v>
      </c>
      <c r="C28" s="21" t="s">
        <v>29</v>
      </c>
      <c r="D28" s="21" t="s">
        <v>77</v>
      </c>
      <c r="E28" s="25">
        <v>101715507</v>
      </c>
      <c r="F28" s="1">
        <v>101</v>
      </c>
      <c r="G28" s="1">
        <f>VLOOKUP($F28,AF!$B$39:$M$80,G$9)*$E28</f>
        <v>0</v>
      </c>
      <c r="H28" s="1">
        <f>VLOOKUP($F28,AF!$B$39:$M$80,H$9)*$E28</f>
        <v>0</v>
      </c>
      <c r="I28" s="1">
        <f>VLOOKUP($F28,AF!$B$39:$M$80,I$9)*$E28</f>
        <v>0</v>
      </c>
      <c r="J28" s="1">
        <f>VLOOKUP($F28,AF!$B$39:$M$80,J$9)*$E28</f>
        <v>0</v>
      </c>
      <c r="K28" s="1">
        <f>VLOOKUP($F28,AF!$B$39:$M$80,K$9)*$E28</f>
        <v>0</v>
      </c>
      <c r="L28" s="1">
        <f>VLOOKUP($F28,AF!$B$39:$M$80,L$9)*$E28</f>
        <v>0</v>
      </c>
      <c r="M28" s="1">
        <f>VLOOKUP($F28,AF!$B$39:$M$80,M$9)*$E28</f>
        <v>0</v>
      </c>
      <c r="N28" s="1">
        <f>VLOOKUP($F28,AF!$B$39:$M$80,N$9)*$E28</f>
        <v>0</v>
      </c>
      <c r="O28" s="1">
        <f t="shared" si="16"/>
        <v>101715507</v>
      </c>
      <c r="Q28" s="8">
        <f t="shared" si="17"/>
        <v>0</v>
      </c>
      <c r="R28" s="8">
        <f t="shared" si="17"/>
        <v>0</v>
      </c>
      <c r="S28" s="17">
        <f t="shared" si="18"/>
        <v>101715507</v>
      </c>
      <c r="U28" s="118">
        <v>302</v>
      </c>
      <c r="V28" s="67">
        <f>VLOOKUP($U28,AF!$B$39:$M$80,V$9)*G28</f>
        <v>0</v>
      </c>
      <c r="W28" s="67">
        <f>VLOOKUP($U28,AF!$B$39:$M$80,W$9)*H28</f>
        <v>0</v>
      </c>
      <c r="X28" s="67">
        <f>VLOOKUP($U28,AF!$B$39:$M$80,X$9)*I28</f>
        <v>0</v>
      </c>
      <c r="Y28" s="67">
        <f>VLOOKUP($U28,AF!$B$39:$M$80,Y$9)*J28</f>
        <v>0</v>
      </c>
      <c r="Z28" s="67">
        <f>VLOOKUP($U28,AF!$B$39:$M$80,Z$9)*K28</f>
        <v>0</v>
      </c>
      <c r="AA28" s="67">
        <f>VLOOKUP($U28,AF!$B$39:$M$80,AA$9)*L28</f>
        <v>0</v>
      </c>
      <c r="AB28" s="67">
        <f>VLOOKUP($U28,AF!$B$39:$M$80,AB$9)*M28</f>
        <v>0</v>
      </c>
      <c r="AC28" s="67">
        <f>VLOOKUP($U28,AF!$B$39:$M$80,AC$9)*N28</f>
        <v>0</v>
      </c>
      <c r="AD28" s="67">
        <f t="shared" si="19"/>
        <v>101715507</v>
      </c>
      <c r="AF28" s="8">
        <f t="shared" si="20"/>
        <v>0</v>
      </c>
      <c r="AG28" s="8">
        <f t="shared" si="20"/>
        <v>0</v>
      </c>
      <c r="AH28" s="67">
        <f t="shared" si="21"/>
        <v>101715507</v>
      </c>
    </row>
    <row r="29" spans="1:34" x14ac:dyDescent="0.45">
      <c r="A29" s="118">
        <f t="shared" si="1"/>
        <v>21</v>
      </c>
      <c r="B29" s="14">
        <v>342</v>
      </c>
      <c r="C29" s="21" t="s">
        <v>441</v>
      </c>
      <c r="D29" s="21" t="s">
        <v>442</v>
      </c>
      <c r="E29" s="25">
        <v>42420679</v>
      </c>
      <c r="F29" s="1">
        <v>101</v>
      </c>
      <c r="G29" s="1">
        <f>VLOOKUP($F29,AF!$B$39:$M$80,G$9)*$E29</f>
        <v>0</v>
      </c>
      <c r="H29" s="1">
        <f>VLOOKUP($F29,AF!$B$39:$M$80,H$9)*$E29</f>
        <v>0</v>
      </c>
      <c r="I29" s="1">
        <f>VLOOKUP($F29,AF!$B$39:$M$80,I$9)*$E29</f>
        <v>0</v>
      </c>
      <c r="J29" s="1">
        <f>VLOOKUP($F29,AF!$B$39:$M$80,J$9)*$E29</f>
        <v>0</v>
      </c>
      <c r="K29" s="1">
        <f>VLOOKUP($F29,AF!$B$39:$M$80,K$9)*$E29</f>
        <v>0</v>
      </c>
      <c r="L29" s="1">
        <f>VLOOKUP($F29,AF!$B$39:$M$80,L$9)*$E29</f>
        <v>0</v>
      </c>
      <c r="M29" s="1">
        <f>VLOOKUP($F29,AF!$B$39:$M$80,M$9)*$E29</f>
        <v>0</v>
      </c>
      <c r="N29" s="1">
        <f>VLOOKUP($F29,AF!$B$39:$M$80,N$9)*$E29</f>
        <v>0</v>
      </c>
      <c r="O29" s="1">
        <f t="shared" si="16"/>
        <v>42420679</v>
      </c>
      <c r="Q29" s="8">
        <f t="shared" si="17"/>
        <v>0</v>
      </c>
      <c r="R29" s="8">
        <f t="shared" si="17"/>
        <v>0</v>
      </c>
      <c r="S29" s="17">
        <f t="shared" si="18"/>
        <v>42420679</v>
      </c>
      <c r="U29" s="118">
        <v>302</v>
      </c>
      <c r="V29" s="67">
        <f>VLOOKUP($U29,AF!$B$39:$M$80,V$9)*G29</f>
        <v>0</v>
      </c>
      <c r="W29" s="67">
        <f>VLOOKUP($U29,AF!$B$39:$M$80,W$9)*H29</f>
        <v>0</v>
      </c>
      <c r="X29" s="67">
        <f>VLOOKUP($U29,AF!$B$39:$M$80,X$9)*I29</f>
        <v>0</v>
      </c>
      <c r="Y29" s="67">
        <f>VLOOKUP($U29,AF!$B$39:$M$80,Y$9)*J29</f>
        <v>0</v>
      </c>
      <c r="Z29" s="67">
        <f>VLOOKUP($U29,AF!$B$39:$M$80,Z$9)*K29</f>
        <v>0</v>
      </c>
      <c r="AA29" s="67">
        <f>VLOOKUP($U29,AF!$B$39:$M$80,AA$9)*L29</f>
        <v>0</v>
      </c>
      <c r="AB29" s="67">
        <f>VLOOKUP($U29,AF!$B$39:$M$80,AB$9)*M29</f>
        <v>0</v>
      </c>
      <c r="AC29" s="67">
        <f>VLOOKUP($U29,AF!$B$39:$M$80,AC$9)*N29</f>
        <v>0</v>
      </c>
      <c r="AD29" s="67">
        <f t="shared" si="19"/>
        <v>42420679</v>
      </c>
      <c r="AF29" s="8">
        <f t="shared" si="20"/>
        <v>0</v>
      </c>
      <c r="AG29" s="8">
        <f t="shared" si="20"/>
        <v>0</v>
      </c>
      <c r="AH29" s="67">
        <f t="shared" si="21"/>
        <v>42420679</v>
      </c>
    </row>
    <row r="30" spans="1:34" x14ac:dyDescent="0.45">
      <c r="A30" s="118">
        <f t="shared" si="1"/>
        <v>22</v>
      </c>
      <c r="B30" s="14">
        <v>343</v>
      </c>
      <c r="C30" s="21" t="s">
        <v>443</v>
      </c>
      <c r="D30" s="21" t="s">
        <v>444</v>
      </c>
      <c r="E30" s="25">
        <v>176421693</v>
      </c>
      <c r="F30" s="1">
        <v>101</v>
      </c>
      <c r="G30" s="1">
        <f>VLOOKUP($F30,AF!$B$39:$M$80,G$9)*$E30</f>
        <v>0</v>
      </c>
      <c r="H30" s="1">
        <f>VLOOKUP($F30,AF!$B$39:$M$80,H$9)*$E30</f>
        <v>0</v>
      </c>
      <c r="I30" s="1">
        <f>VLOOKUP($F30,AF!$B$39:$M$80,I$9)*$E30</f>
        <v>0</v>
      </c>
      <c r="J30" s="1">
        <f>VLOOKUP($F30,AF!$B$39:$M$80,J$9)*$E30</f>
        <v>0</v>
      </c>
      <c r="K30" s="1">
        <f>VLOOKUP($F30,AF!$B$39:$M$80,K$9)*$E30</f>
        <v>0</v>
      </c>
      <c r="L30" s="1">
        <f>VLOOKUP($F30,AF!$B$39:$M$80,L$9)*$E30</f>
        <v>0</v>
      </c>
      <c r="M30" s="1">
        <f>VLOOKUP($F30,AF!$B$39:$M$80,M$9)*$E30</f>
        <v>0</v>
      </c>
      <c r="N30" s="1">
        <f>VLOOKUP($F30,AF!$B$39:$M$80,N$9)*$E30</f>
        <v>0</v>
      </c>
      <c r="O30" s="1">
        <f t="shared" si="16"/>
        <v>176421693</v>
      </c>
      <c r="Q30" s="8">
        <f t="shared" si="17"/>
        <v>0</v>
      </c>
      <c r="R30" s="8">
        <f t="shared" si="17"/>
        <v>0</v>
      </c>
      <c r="S30" s="17">
        <f t="shared" si="18"/>
        <v>176421693</v>
      </c>
      <c r="U30" s="118">
        <v>302</v>
      </c>
      <c r="V30" s="67">
        <f>VLOOKUP($U30,AF!$B$39:$M$80,V$9)*G30</f>
        <v>0</v>
      </c>
      <c r="W30" s="67">
        <f>VLOOKUP($U30,AF!$B$39:$M$80,W$9)*H30</f>
        <v>0</v>
      </c>
      <c r="X30" s="67">
        <f>VLOOKUP($U30,AF!$B$39:$M$80,X$9)*I30</f>
        <v>0</v>
      </c>
      <c r="Y30" s="67">
        <f>VLOOKUP($U30,AF!$B$39:$M$80,Y$9)*J30</f>
        <v>0</v>
      </c>
      <c r="Z30" s="67">
        <f>VLOOKUP($U30,AF!$B$39:$M$80,Z$9)*K30</f>
        <v>0</v>
      </c>
      <c r="AA30" s="67">
        <f>VLOOKUP($U30,AF!$B$39:$M$80,AA$9)*L30</f>
        <v>0</v>
      </c>
      <c r="AB30" s="67">
        <f>VLOOKUP($U30,AF!$B$39:$M$80,AB$9)*M30</f>
        <v>0</v>
      </c>
      <c r="AC30" s="67">
        <f>VLOOKUP($U30,AF!$B$39:$M$80,AC$9)*N30</f>
        <v>0</v>
      </c>
      <c r="AD30" s="67">
        <f t="shared" si="19"/>
        <v>176421693</v>
      </c>
      <c r="AF30" s="8">
        <f t="shared" si="20"/>
        <v>0</v>
      </c>
      <c r="AG30" s="8">
        <f t="shared" si="20"/>
        <v>0</v>
      </c>
      <c r="AH30" s="67">
        <f t="shared" si="21"/>
        <v>176421693</v>
      </c>
    </row>
    <row r="31" spans="1:34" x14ac:dyDescent="0.45">
      <c r="A31" s="118">
        <f t="shared" si="1"/>
        <v>23</v>
      </c>
      <c r="B31" s="14">
        <v>344</v>
      </c>
      <c r="C31" s="21" t="s">
        <v>76</v>
      </c>
      <c r="D31" s="21" t="s">
        <v>78</v>
      </c>
      <c r="E31" s="25">
        <v>291991418</v>
      </c>
      <c r="F31" s="1">
        <v>101</v>
      </c>
      <c r="G31" s="1">
        <f>VLOOKUP($F31,AF!$B$39:$M$80,G$9)*$E31</f>
        <v>0</v>
      </c>
      <c r="H31" s="1">
        <f>VLOOKUP($F31,AF!$B$39:$M$80,H$9)*$E31</f>
        <v>0</v>
      </c>
      <c r="I31" s="1">
        <f>VLOOKUP($F31,AF!$B$39:$M$80,I$9)*$E31</f>
        <v>0</v>
      </c>
      <c r="J31" s="1">
        <f>VLOOKUP($F31,AF!$B$39:$M$80,J$9)*$E31</f>
        <v>0</v>
      </c>
      <c r="K31" s="1">
        <f>VLOOKUP($F31,AF!$B$39:$M$80,K$9)*$E31</f>
        <v>0</v>
      </c>
      <c r="L31" s="1">
        <f>VLOOKUP($F31,AF!$B$39:$M$80,L$9)*$E31</f>
        <v>0</v>
      </c>
      <c r="M31" s="1">
        <f>VLOOKUP($F31,AF!$B$39:$M$80,M$9)*$E31</f>
        <v>0</v>
      </c>
      <c r="N31" s="1">
        <f>VLOOKUP($F31,AF!$B$39:$M$80,N$9)*$E31</f>
        <v>0</v>
      </c>
      <c r="O31" s="1">
        <f t="shared" si="16"/>
        <v>291991418</v>
      </c>
      <c r="Q31" s="8">
        <f t="shared" si="17"/>
        <v>0</v>
      </c>
      <c r="R31" s="8">
        <f t="shared" si="17"/>
        <v>0</v>
      </c>
      <c r="S31" s="17">
        <f t="shared" si="18"/>
        <v>291991418</v>
      </c>
      <c r="U31" s="118">
        <v>302</v>
      </c>
      <c r="V31" s="67">
        <f>VLOOKUP($U31,AF!$B$39:$M$80,V$9)*G31</f>
        <v>0</v>
      </c>
      <c r="W31" s="67">
        <f>VLOOKUP($U31,AF!$B$39:$M$80,W$9)*H31</f>
        <v>0</v>
      </c>
      <c r="X31" s="67">
        <f>VLOOKUP($U31,AF!$B$39:$M$80,X$9)*I31</f>
        <v>0</v>
      </c>
      <c r="Y31" s="67">
        <f>VLOOKUP($U31,AF!$B$39:$M$80,Y$9)*J31</f>
        <v>0</v>
      </c>
      <c r="Z31" s="67">
        <f>VLOOKUP($U31,AF!$B$39:$M$80,Z$9)*K31</f>
        <v>0</v>
      </c>
      <c r="AA31" s="67">
        <f>VLOOKUP($U31,AF!$B$39:$M$80,AA$9)*L31</f>
        <v>0</v>
      </c>
      <c r="AB31" s="67">
        <f>VLOOKUP($U31,AF!$B$39:$M$80,AB$9)*M31</f>
        <v>0</v>
      </c>
      <c r="AC31" s="67">
        <f>VLOOKUP($U31,AF!$B$39:$M$80,AC$9)*N31</f>
        <v>0</v>
      </c>
      <c r="AD31" s="67">
        <f t="shared" si="19"/>
        <v>291991418</v>
      </c>
      <c r="AF31" s="8">
        <f t="shared" si="20"/>
        <v>0</v>
      </c>
      <c r="AG31" s="8">
        <f t="shared" si="20"/>
        <v>0</v>
      </c>
      <c r="AH31" s="67">
        <f t="shared" si="21"/>
        <v>291991418</v>
      </c>
    </row>
    <row r="32" spans="1:34" x14ac:dyDescent="0.45">
      <c r="A32" s="118">
        <f t="shared" si="1"/>
        <v>24</v>
      </c>
      <c r="B32" s="14">
        <v>345</v>
      </c>
      <c r="C32" s="21" t="s">
        <v>434</v>
      </c>
      <c r="D32" s="21" t="s">
        <v>445</v>
      </c>
      <c r="E32" s="28">
        <v>31764866</v>
      </c>
      <c r="F32" s="1">
        <v>101</v>
      </c>
      <c r="G32" s="1">
        <f>VLOOKUP($F32,AF!$B$39:$M$80,G$9)*$E32</f>
        <v>0</v>
      </c>
      <c r="H32" s="1">
        <f>VLOOKUP($F32,AF!$B$39:$M$80,H$9)*$E32</f>
        <v>0</v>
      </c>
      <c r="I32" s="1">
        <f>VLOOKUP($F32,AF!$B$39:$M$80,I$9)*$E32</f>
        <v>0</v>
      </c>
      <c r="J32" s="1">
        <f>VLOOKUP($F32,AF!$B$39:$M$80,J$9)*$E32</f>
        <v>0</v>
      </c>
      <c r="K32" s="1">
        <f>VLOOKUP($F32,AF!$B$39:$M$80,K$9)*$E32</f>
        <v>0</v>
      </c>
      <c r="L32" s="1">
        <f>VLOOKUP($F32,AF!$B$39:$M$80,L$9)*$E32</f>
        <v>0</v>
      </c>
      <c r="M32" s="1">
        <f>VLOOKUP($F32,AF!$B$39:$M$80,M$9)*$E32</f>
        <v>0</v>
      </c>
      <c r="N32" s="1">
        <f>VLOOKUP($F32,AF!$B$39:$M$80,N$9)*$E32</f>
        <v>0</v>
      </c>
      <c r="O32" s="1">
        <f t="shared" si="16"/>
        <v>31764866</v>
      </c>
      <c r="Q32" s="8">
        <f t="shared" si="17"/>
        <v>0</v>
      </c>
      <c r="R32" s="8">
        <f t="shared" si="17"/>
        <v>0</v>
      </c>
      <c r="S32" s="17">
        <f t="shared" si="18"/>
        <v>31764866</v>
      </c>
      <c r="U32" s="118">
        <v>302</v>
      </c>
      <c r="V32" s="67">
        <f>VLOOKUP($U32,AF!$B$39:$M$80,V$9)*G32</f>
        <v>0</v>
      </c>
      <c r="W32" s="67">
        <f>VLOOKUP($U32,AF!$B$39:$M$80,W$9)*H32</f>
        <v>0</v>
      </c>
      <c r="X32" s="67">
        <f>VLOOKUP($U32,AF!$B$39:$M$80,X$9)*I32</f>
        <v>0</v>
      </c>
      <c r="Y32" s="67">
        <f>VLOOKUP($U32,AF!$B$39:$M$80,Y$9)*J32</f>
        <v>0</v>
      </c>
      <c r="Z32" s="67">
        <f>VLOOKUP($U32,AF!$B$39:$M$80,Z$9)*K32</f>
        <v>0</v>
      </c>
      <c r="AA32" s="67">
        <f>VLOOKUP($U32,AF!$B$39:$M$80,AA$9)*L32</f>
        <v>0</v>
      </c>
      <c r="AB32" s="67">
        <f>VLOOKUP($U32,AF!$B$39:$M$80,AB$9)*M32</f>
        <v>0</v>
      </c>
      <c r="AC32" s="67">
        <f>VLOOKUP($U32,AF!$B$39:$M$80,AC$9)*N32</f>
        <v>0</v>
      </c>
      <c r="AD32" s="67">
        <f t="shared" si="19"/>
        <v>31764866</v>
      </c>
      <c r="AF32" s="8">
        <f t="shared" si="20"/>
        <v>0</v>
      </c>
      <c r="AG32" s="8">
        <f t="shared" si="20"/>
        <v>0</v>
      </c>
      <c r="AH32" s="67">
        <f t="shared" si="21"/>
        <v>31764866</v>
      </c>
    </row>
    <row r="33" spans="1:34" x14ac:dyDescent="0.45">
      <c r="A33" s="118">
        <f t="shared" si="1"/>
        <v>25</v>
      </c>
      <c r="B33" s="14">
        <v>346</v>
      </c>
      <c r="C33" s="21" t="s">
        <v>436</v>
      </c>
      <c r="D33" s="21" t="s">
        <v>446</v>
      </c>
      <c r="E33" s="28">
        <v>11655230</v>
      </c>
      <c r="F33" s="1">
        <v>101</v>
      </c>
      <c r="G33" s="1">
        <f>VLOOKUP($F33,AF!$B$39:$M$80,G$9)*$E33</f>
        <v>0</v>
      </c>
      <c r="H33" s="1">
        <f>VLOOKUP($F33,AF!$B$39:$M$80,H$9)*$E33</f>
        <v>0</v>
      </c>
      <c r="I33" s="1">
        <f>VLOOKUP($F33,AF!$B$39:$M$80,I$9)*$E33</f>
        <v>0</v>
      </c>
      <c r="J33" s="1">
        <f>VLOOKUP($F33,AF!$B$39:$M$80,J$9)*$E33</f>
        <v>0</v>
      </c>
      <c r="K33" s="1">
        <f>VLOOKUP($F33,AF!$B$39:$M$80,K$9)*$E33</f>
        <v>0</v>
      </c>
      <c r="L33" s="1">
        <f>VLOOKUP($F33,AF!$B$39:$M$80,L$9)*$E33</f>
        <v>0</v>
      </c>
      <c r="M33" s="1">
        <f>VLOOKUP($F33,AF!$B$39:$M$80,M$9)*$E33</f>
        <v>0</v>
      </c>
      <c r="N33" s="1">
        <f>VLOOKUP($F33,AF!$B$39:$M$80,N$9)*$E33</f>
        <v>0</v>
      </c>
      <c r="O33" s="1">
        <f t="shared" si="16"/>
        <v>11655230</v>
      </c>
      <c r="Q33" s="8">
        <f t="shared" si="17"/>
        <v>0</v>
      </c>
      <c r="R33" s="8">
        <f t="shared" si="17"/>
        <v>0</v>
      </c>
      <c r="S33" s="17">
        <f t="shared" si="18"/>
        <v>11655230</v>
      </c>
      <c r="U33" s="118">
        <v>302</v>
      </c>
      <c r="V33" s="67">
        <f>VLOOKUP($U33,AF!$B$39:$M$80,V$9)*G33</f>
        <v>0</v>
      </c>
      <c r="W33" s="67">
        <f>VLOOKUP($U33,AF!$B$39:$M$80,W$9)*H33</f>
        <v>0</v>
      </c>
      <c r="X33" s="67">
        <f>VLOOKUP($U33,AF!$B$39:$M$80,X$9)*I33</f>
        <v>0</v>
      </c>
      <c r="Y33" s="67">
        <f>VLOOKUP($U33,AF!$B$39:$M$80,Y$9)*J33</f>
        <v>0</v>
      </c>
      <c r="Z33" s="67">
        <f>VLOOKUP($U33,AF!$B$39:$M$80,Z$9)*K33</f>
        <v>0</v>
      </c>
      <c r="AA33" s="67">
        <f>VLOOKUP($U33,AF!$B$39:$M$80,AA$9)*L33</f>
        <v>0</v>
      </c>
      <c r="AB33" s="67">
        <f>VLOOKUP($U33,AF!$B$39:$M$80,AB$9)*M33</f>
        <v>0</v>
      </c>
      <c r="AC33" s="67">
        <f>VLOOKUP($U33,AF!$B$39:$M$80,AC$9)*N33</f>
        <v>0</v>
      </c>
      <c r="AD33" s="67">
        <f t="shared" si="19"/>
        <v>11655230</v>
      </c>
      <c r="AF33" s="8">
        <f t="shared" si="20"/>
        <v>0</v>
      </c>
      <c r="AG33" s="8">
        <f t="shared" si="20"/>
        <v>0</v>
      </c>
      <c r="AH33" s="67">
        <f t="shared" si="21"/>
        <v>11655230</v>
      </c>
    </row>
    <row r="34" spans="1:34" x14ac:dyDescent="0.45">
      <c r="A34" s="118">
        <f t="shared" si="1"/>
        <v>26</v>
      </c>
      <c r="B34" s="14">
        <v>347</v>
      </c>
      <c r="C34" s="21" t="s">
        <v>447</v>
      </c>
      <c r="D34" s="21" t="s">
        <v>448</v>
      </c>
      <c r="E34" s="28">
        <v>0</v>
      </c>
      <c r="F34" s="1">
        <v>101</v>
      </c>
      <c r="G34" s="1">
        <f>VLOOKUP($F34,AF!$B$39:$M$80,G$9)*$E34</f>
        <v>0</v>
      </c>
      <c r="H34" s="1">
        <f>VLOOKUP($F34,AF!$B$39:$M$80,H$9)*$E34</f>
        <v>0</v>
      </c>
      <c r="I34" s="1">
        <f>VLOOKUP($F34,AF!$B$39:$M$80,I$9)*$E34</f>
        <v>0</v>
      </c>
      <c r="J34" s="1">
        <f>VLOOKUP($F34,AF!$B$39:$M$80,J$9)*$E34</f>
        <v>0</v>
      </c>
      <c r="K34" s="1">
        <f>VLOOKUP($F34,AF!$B$39:$M$80,K$9)*$E34</f>
        <v>0</v>
      </c>
      <c r="L34" s="1">
        <f>VLOOKUP($F34,AF!$B$39:$M$80,L$9)*$E34</f>
        <v>0</v>
      </c>
      <c r="M34" s="1">
        <f>VLOOKUP($F34,AF!$B$39:$M$80,M$9)*$E34</f>
        <v>0</v>
      </c>
      <c r="N34" s="1">
        <f>VLOOKUP($F34,AF!$B$39:$M$80,N$9)*$E34</f>
        <v>0</v>
      </c>
      <c r="O34" s="1">
        <f t="shared" si="16"/>
        <v>0</v>
      </c>
      <c r="Q34" s="8">
        <f t="shared" si="17"/>
        <v>0</v>
      </c>
      <c r="R34" s="8">
        <f t="shared" si="17"/>
        <v>0</v>
      </c>
      <c r="S34" s="17">
        <f t="shared" si="18"/>
        <v>0</v>
      </c>
      <c r="U34" s="118">
        <v>302</v>
      </c>
      <c r="V34" s="67">
        <f>VLOOKUP($U34,AF!$B$39:$M$80,V$9)*G34</f>
        <v>0</v>
      </c>
      <c r="W34" s="67">
        <f>VLOOKUP($U34,AF!$B$39:$M$80,W$9)*H34</f>
        <v>0</v>
      </c>
      <c r="X34" s="67">
        <f>VLOOKUP($U34,AF!$B$39:$M$80,X$9)*I34</f>
        <v>0</v>
      </c>
      <c r="Y34" s="67">
        <f>VLOOKUP($U34,AF!$B$39:$M$80,Y$9)*J34</f>
        <v>0</v>
      </c>
      <c r="Z34" s="67">
        <f>VLOOKUP($U34,AF!$B$39:$M$80,Z$9)*K34</f>
        <v>0</v>
      </c>
      <c r="AA34" s="67">
        <f>VLOOKUP($U34,AF!$B$39:$M$80,AA$9)*L34</f>
        <v>0</v>
      </c>
      <c r="AB34" s="67">
        <f>VLOOKUP($U34,AF!$B$39:$M$80,AB$9)*M34</f>
        <v>0</v>
      </c>
      <c r="AC34" s="67">
        <f>VLOOKUP($U34,AF!$B$39:$M$80,AC$9)*N34</f>
        <v>0</v>
      </c>
      <c r="AD34" s="67">
        <f t="shared" si="19"/>
        <v>0</v>
      </c>
      <c r="AF34" s="8">
        <f t="shared" si="20"/>
        <v>0</v>
      </c>
      <c r="AG34" s="8">
        <f t="shared" si="20"/>
        <v>0</v>
      </c>
      <c r="AH34" s="67">
        <f t="shared" si="21"/>
        <v>0</v>
      </c>
    </row>
    <row r="35" spans="1:34" x14ac:dyDescent="0.45">
      <c r="A35" s="118">
        <f t="shared" si="1"/>
        <v>27</v>
      </c>
      <c r="C35" s="21" t="s">
        <v>0</v>
      </c>
      <c r="E35" s="32">
        <f>SUM(E27:E34)</f>
        <v>657600833</v>
      </c>
      <c r="F35" s="1"/>
      <c r="G35" s="32">
        <f t="shared" ref="G35:O35" si="22">SUM(G27:G34)</f>
        <v>0</v>
      </c>
      <c r="H35" s="32">
        <f t="shared" si="22"/>
        <v>0</v>
      </c>
      <c r="I35" s="32">
        <f t="shared" si="22"/>
        <v>0</v>
      </c>
      <c r="J35" s="32">
        <f t="shared" si="22"/>
        <v>0</v>
      </c>
      <c r="K35" s="32">
        <f t="shared" si="22"/>
        <v>0</v>
      </c>
      <c r="L35" s="32">
        <f t="shared" si="22"/>
        <v>0</v>
      </c>
      <c r="M35" s="32">
        <f t="shared" si="22"/>
        <v>0</v>
      </c>
      <c r="N35" s="32">
        <f t="shared" si="22"/>
        <v>0</v>
      </c>
      <c r="O35" s="32">
        <f t="shared" si="22"/>
        <v>657600833</v>
      </c>
      <c r="Q35" s="61">
        <f>SUM(Q27:Q34)</f>
        <v>0</v>
      </c>
      <c r="R35" s="61">
        <f>SUM(R27:R34)</f>
        <v>0</v>
      </c>
      <c r="S35" s="32">
        <f>SUM(S27:S34)</f>
        <v>657600833</v>
      </c>
      <c r="U35" s="118"/>
      <c r="V35" s="32">
        <f t="shared" ref="V35:AD35" si="23">SUM(V27:V34)</f>
        <v>0</v>
      </c>
      <c r="W35" s="32">
        <f t="shared" si="23"/>
        <v>0</v>
      </c>
      <c r="X35" s="32">
        <f t="shared" si="23"/>
        <v>0</v>
      </c>
      <c r="Y35" s="32">
        <f t="shared" si="23"/>
        <v>0</v>
      </c>
      <c r="Z35" s="32">
        <f t="shared" si="23"/>
        <v>0</v>
      </c>
      <c r="AA35" s="32">
        <f t="shared" si="23"/>
        <v>0</v>
      </c>
      <c r="AB35" s="32">
        <f t="shared" si="23"/>
        <v>0</v>
      </c>
      <c r="AC35" s="32">
        <f t="shared" si="23"/>
        <v>0</v>
      </c>
      <c r="AD35" s="32">
        <f t="shared" si="23"/>
        <v>657600833</v>
      </c>
      <c r="AF35" s="61">
        <f>SUM(AF27:AF34)</f>
        <v>0</v>
      </c>
      <c r="AG35" s="61">
        <f>SUM(AG27:AG34)</f>
        <v>0</v>
      </c>
      <c r="AH35" s="32">
        <f t="shared" ref="AH35" si="24">SUM(AH27:AH34)</f>
        <v>657600833</v>
      </c>
    </row>
    <row r="36" spans="1:34" x14ac:dyDescent="0.45">
      <c r="A36" s="118">
        <f t="shared" si="1"/>
        <v>28</v>
      </c>
      <c r="G36" s="118"/>
      <c r="I36" s="118"/>
      <c r="K36" s="118"/>
      <c r="M36" s="118"/>
      <c r="O36" s="118"/>
      <c r="Q36" s="74"/>
      <c r="R36" s="73"/>
      <c r="U36" s="118"/>
      <c r="AF36" s="74"/>
      <c r="AG36" s="73"/>
    </row>
    <row r="37" spans="1:34" x14ac:dyDescent="0.45">
      <c r="A37" s="118">
        <f t="shared" si="1"/>
        <v>29</v>
      </c>
      <c r="B37" s="66" t="s">
        <v>79</v>
      </c>
      <c r="C37" s="66"/>
      <c r="G37" s="118"/>
      <c r="I37" s="118"/>
      <c r="K37" s="118"/>
      <c r="M37" s="118"/>
      <c r="O37" s="118"/>
      <c r="Q37" s="74"/>
      <c r="R37" s="73"/>
      <c r="U37" s="118"/>
      <c r="AF37" s="74"/>
      <c r="AG37" s="73"/>
    </row>
    <row r="38" spans="1:34" x14ac:dyDescent="0.45">
      <c r="A38" s="118">
        <f t="shared" si="1"/>
        <v>30</v>
      </c>
      <c r="B38" s="14">
        <v>350</v>
      </c>
      <c r="C38" s="21" t="s">
        <v>28</v>
      </c>
      <c r="D38" s="21" t="s">
        <v>80</v>
      </c>
      <c r="E38" s="20">
        <f>232962-E39</f>
        <v>0</v>
      </c>
      <c r="F38" s="1">
        <v>108</v>
      </c>
      <c r="G38" s="1">
        <f>VLOOKUP($F38,AF!$B$39:$M$80,G$9)*$E38</f>
        <v>0</v>
      </c>
      <c r="H38" s="1">
        <f>VLOOKUP($F38,AF!$B$39:$M$80,H$9)*$E38</f>
        <v>0</v>
      </c>
      <c r="I38" s="1">
        <f>VLOOKUP($F38,AF!$B$39:$M$80,I$9)*$E38</f>
        <v>0</v>
      </c>
      <c r="J38" s="1">
        <f>VLOOKUP($F38,AF!$B$39:$M$80,J$9)*$E38</f>
        <v>0</v>
      </c>
      <c r="K38" s="1">
        <f>VLOOKUP($F38,AF!$B$39:$M$80,K$9)*$E38</f>
        <v>0</v>
      </c>
      <c r="L38" s="1">
        <f>VLOOKUP($F38,AF!$B$39:$M$80,L$9)*$E38</f>
        <v>0</v>
      </c>
      <c r="M38" s="1">
        <f>VLOOKUP($F38,AF!$B$39:$M$80,M$9)*$E38</f>
        <v>0</v>
      </c>
      <c r="N38" s="1">
        <f>VLOOKUP($F38,AF!$B$39:$M$80,N$9)*$E38</f>
        <v>0</v>
      </c>
      <c r="O38" s="1">
        <f>E38-SUM(G38:N38)</f>
        <v>0</v>
      </c>
      <c r="Q38" s="8">
        <f t="shared" ref="Q38:Q59" si="25">+M38+K38+I38+G38</f>
        <v>0</v>
      </c>
      <c r="R38" s="8">
        <f t="shared" ref="R38:R59" si="26">+N38+L38+J38+H38</f>
        <v>0</v>
      </c>
      <c r="S38" s="17">
        <f t="shared" ref="S38:S59" si="27">Q38+R38+O38</f>
        <v>0</v>
      </c>
      <c r="U38" s="118">
        <v>300</v>
      </c>
      <c r="V38" s="67">
        <f>VLOOKUP($U38,AF!$B$39:$M$80,V$9)*G38</f>
        <v>0</v>
      </c>
      <c r="W38" s="67">
        <f>VLOOKUP($U38,AF!$B$39:$M$80,W$9)*H38</f>
        <v>0</v>
      </c>
      <c r="X38" s="67">
        <f>VLOOKUP($U38,AF!$B$39:$M$80,X$9)*I38</f>
        <v>0</v>
      </c>
      <c r="Y38" s="67">
        <f>VLOOKUP($U38,AF!$B$39:$M$80,Y$9)*J38</f>
        <v>0</v>
      </c>
      <c r="Z38" s="67">
        <f>VLOOKUP($U38,AF!$B$39:$M$80,Z$9)*K38</f>
        <v>0</v>
      </c>
      <c r="AA38" s="67">
        <f>VLOOKUP($U38,AF!$B$39:$M$80,AA$9)*L38</f>
        <v>0</v>
      </c>
      <c r="AB38" s="67">
        <f>VLOOKUP($U38,AF!$B$39:$M$80,AB$9)*M38</f>
        <v>0</v>
      </c>
      <c r="AC38" s="67">
        <f>VLOOKUP($U38,AF!$B$39:$M$80,AC$9)*N38</f>
        <v>0</v>
      </c>
      <c r="AD38" s="67">
        <f t="shared" ref="AD38:AD59" si="28">E38-SUM(V38:AC38)</f>
        <v>0</v>
      </c>
      <c r="AF38" s="8">
        <f t="shared" ref="AF38:AF59" si="29">+AB38+Z38+X38+V38</f>
        <v>0</v>
      </c>
      <c r="AG38" s="8">
        <f t="shared" ref="AG38:AG59" si="30">+AC38+AA38+Y38+W38</f>
        <v>0</v>
      </c>
      <c r="AH38" s="67">
        <f t="shared" ref="AH38:AH59" si="31">+AF38+AG38+AD38</f>
        <v>0</v>
      </c>
    </row>
    <row r="39" spans="1:34" x14ac:dyDescent="0.45">
      <c r="A39" s="118">
        <f t="shared" si="1"/>
        <v>31</v>
      </c>
      <c r="B39" s="14" t="s">
        <v>552</v>
      </c>
      <c r="C39" s="21" t="s">
        <v>553</v>
      </c>
      <c r="E39" s="8">
        <f>SUM(G39:O39)</f>
        <v>232962</v>
      </c>
      <c r="F39" s="1">
        <v>100</v>
      </c>
      <c r="G39" s="70">
        <v>35574</v>
      </c>
      <c r="H39" s="70">
        <v>0</v>
      </c>
      <c r="I39" s="20">
        <v>0</v>
      </c>
      <c r="J39" s="20">
        <v>0</v>
      </c>
      <c r="K39" s="70">
        <v>74617</v>
      </c>
      <c r="L39" s="20">
        <v>0</v>
      </c>
      <c r="M39" s="70">
        <v>0</v>
      </c>
      <c r="N39" s="70">
        <v>0</v>
      </c>
      <c r="O39" s="70">
        <v>122771</v>
      </c>
      <c r="Q39" s="8">
        <f t="shared" si="25"/>
        <v>110191</v>
      </c>
      <c r="R39" s="8">
        <f t="shared" si="26"/>
        <v>0</v>
      </c>
      <c r="S39" s="17">
        <f t="shared" si="27"/>
        <v>232962</v>
      </c>
      <c r="U39" s="118">
        <v>300</v>
      </c>
      <c r="V39" s="67">
        <f>VLOOKUP($U39,AF!$B$39:$M$80,V$9)*G39</f>
        <v>35574</v>
      </c>
      <c r="W39" s="67">
        <f>VLOOKUP($U39,AF!$B$39:$M$80,W$9)*H39</f>
        <v>0</v>
      </c>
      <c r="X39" s="67">
        <f>VLOOKUP($U39,AF!$B$39:$M$80,X$9)*I39</f>
        <v>0</v>
      </c>
      <c r="Y39" s="67">
        <f>VLOOKUP($U39,AF!$B$39:$M$80,Y$9)*J39</f>
        <v>0</v>
      </c>
      <c r="Z39" s="67">
        <f>VLOOKUP($U39,AF!$B$39:$M$80,Z$9)*K39</f>
        <v>74617</v>
      </c>
      <c r="AA39" s="67">
        <f>VLOOKUP($U39,AF!$B$39:$M$80,AA$9)*L39</f>
        <v>0</v>
      </c>
      <c r="AB39" s="67">
        <f>VLOOKUP($U39,AF!$B$39:$M$80,AB$9)*M39</f>
        <v>0</v>
      </c>
      <c r="AC39" s="67">
        <f>VLOOKUP($U39,AF!$B$39:$M$80,AC$9)*N39</f>
        <v>0</v>
      </c>
      <c r="AD39" s="67">
        <f t="shared" si="28"/>
        <v>122771</v>
      </c>
      <c r="AF39" s="8">
        <f t="shared" si="29"/>
        <v>110191</v>
      </c>
      <c r="AG39" s="8">
        <f t="shared" si="30"/>
        <v>0</v>
      </c>
      <c r="AH39" s="67">
        <f t="shared" si="31"/>
        <v>232962</v>
      </c>
    </row>
    <row r="40" spans="1:34" x14ac:dyDescent="0.45">
      <c r="A40" s="118">
        <f t="shared" si="1"/>
        <v>32</v>
      </c>
      <c r="B40" s="14">
        <v>352</v>
      </c>
      <c r="C40" s="21" t="s">
        <v>29</v>
      </c>
      <c r="D40" s="21" t="s">
        <v>81</v>
      </c>
      <c r="E40" s="20">
        <f>0-E41</f>
        <v>0</v>
      </c>
      <c r="F40" s="1">
        <v>108</v>
      </c>
      <c r="G40" s="1">
        <f>VLOOKUP($F40,AF!$B$39:$M$80,G$9)*$E40</f>
        <v>0</v>
      </c>
      <c r="H40" s="1">
        <f>VLOOKUP($F40,AF!$B$39:$M$80,H$9)*$E40</f>
        <v>0</v>
      </c>
      <c r="I40" s="1">
        <f>VLOOKUP($F40,AF!$B$39:$M$80,I$9)*$E40</f>
        <v>0</v>
      </c>
      <c r="J40" s="1">
        <f>VLOOKUP($F40,AF!$B$39:$M$80,J$9)*$E40</f>
        <v>0</v>
      </c>
      <c r="K40" s="1">
        <f>VLOOKUP($F40,AF!$B$39:$M$80,K$9)*$E40</f>
        <v>0</v>
      </c>
      <c r="L40" s="1">
        <f>VLOOKUP($F40,AF!$B$39:$M$80,L$9)*$E40</f>
        <v>0</v>
      </c>
      <c r="M40" s="1">
        <f>VLOOKUP($F40,AF!$B$39:$M$80,M$9)*$E40</f>
        <v>0</v>
      </c>
      <c r="N40" s="1">
        <f>VLOOKUP($F40,AF!$B$39:$M$80,N$9)*$E40</f>
        <v>0</v>
      </c>
      <c r="O40" s="1">
        <f>E40-SUM(G40:N40)</f>
        <v>0</v>
      </c>
      <c r="Q40" s="8">
        <f t="shared" si="25"/>
        <v>0</v>
      </c>
      <c r="R40" s="8">
        <f t="shared" si="26"/>
        <v>0</v>
      </c>
      <c r="S40" s="17">
        <f t="shared" si="27"/>
        <v>0</v>
      </c>
      <c r="U40" s="118">
        <v>300</v>
      </c>
      <c r="V40" s="67">
        <f>VLOOKUP($U40,AF!$B$39:$M$80,V$9)*G40</f>
        <v>0</v>
      </c>
      <c r="W40" s="67">
        <f>VLOOKUP($U40,AF!$B$39:$M$80,W$9)*H40</f>
        <v>0</v>
      </c>
      <c r="X40" s="67">
        <f>VLOOKUP($U40,AF!$B$39:$M$80,X$9)*I40</f>
        <v>0</v>
      </c>
      <c r="Y40" s="67">
        <f>VLOOKUP($U40,AF!$B$39:$M$80,Y$9)*J40</f>
        <v>0</v>
      </c>
      <c r="Z40" s="67">
        <f>VLOOKUP($U40,AF!$B$39:$M$80,Z$9)*K40</f>
        <v>0</v>
      </c>
      <c r="AA40" s="67">
        <f>VLOOKUP($U40,AF!$B$39:$M$80,AA$9)*L40</f>
        <v>0</v>
      </c>
      <c r="AB40" s="67">
        <f>VLOOKUP($U40,AF!$B$39:$M$80,AB$9)*M40</f>
        <v>0</v>
      </c>
      <c r="AC40" s="67">
        <f>VLOOKUP($U40,AF!$B$39:$M$80,AC$9)*N40</f>
        <v>0</v>
      </c>
      <c r="AD40" s="67">
        <f t="shared" si="28"/>
        <v>0</v>
      </c>
      <c r="AF40" s="8">
        <f t="shared" si="29"/>
        <v>0</v>
      </c>
      <c r="AG40" s="8">
        <f t="shared" si="30"/>
        <v>0</v>
      </c>
      <c r="AH40" s="67">
        <f t="shared" si="31"/>
        <v>0</v>
      </c>
    </row>
    <row r="41" spans="1:34" x14ac:dyDescent="0.45">
      <c r="A41" s="118">
        <f t="shared" si="1"/>
        <v>33</v>
      </c>
      <c r="B41" s="14" t="s">
        <v>554</v>
      </c>
      <c r="C41" s="21" t="s">
        <v>555</v>
      </c>
      <c r="E41" s="8">
        <f>SUM(G41:O41)</f>
        <v>0</v>
      </c>
      <c r="F41" s="1">
        <v>100</v>
      </c>
      <c r="G41" s="70">
        <v>0</v>
      </c>
      <c r="H41" s="70">
        <v>0</v>
      </c>
      <c r="I41" s="70">
        <v>0</v>
      </c>
      <c r="J41" s="70">
        <v>0</v>
      </c>
      <c r="K41" s="70">
        <v>0</v>
      </c>
      <c r="L41" s="70">
        <v>0</v>
      </c>
      <c r="M41" s="70">
        <v>0</v>
      </c>
      <c r="N41" s="70">
        <v>0</v>
      </c>
      <c r="O41" s="70">
        <v>0</v>
      </c>
      <c r="Q41" s="8">
        <f t="shared" si="25"/>
        <v>0</v>
      </c>
      <c r="R41" s="8">
        <f t="shared" si="26"/>
        <v>0</v>
      </c>
      <c r="S41" s="17">
        <f t="shared" si="27"/>
        <v>0</v>
      </c>
      <c r="U41" s="118">
        <v>300</v>
      </c>
      <c r="V41" s="67">
        <f>VLOOKUP($U41,AF!$B$39:$M$80,V$9)*G41</f>
        <v>0</v>
      </c>
      <c r="W41" s="67">
        <f>VLOOKUP($U41,AF!$B$39:$M$80,W$9)*H41</f>
        <v>0</v>
      </c>
      <c r="X41" s="67">
        <f>VLOOKUP($U41,AF!$B$39:$M$80,X$9)*I41</f>
        <v>0</v>
      </c>
      <c r="Y41" s="67">
        <f>VLOOKUP($U41,AF!$B$39:$M$80,Y$9)*J41</f>
        <v>0</v>
      </c>
      <c r="Z41" s="67">
        <f>VLOOKUP($U41,AF!$B$39:$M$80,Z$9)*K41</f>
        <v>0</v>
      </c>
      <c r="AA41" s="67">
        <f>VLOOKUP($U41,AF!$B$39:$M$80,AA$9)*L41</f>
        <v>0</v>
      </c>
      <c r="AB41" s="67">
        <f>VLOOKUP($U41,AF!$B$39:$M$80,AB$9)*M41</f>
        <v>0</v>
      </c>
      <c r="AC41" s="67">
        <f>VLOOKUP($U41,AF!$B$39:$M$80,AC$9)*N41</f>
        <v>0</v>
      </c>
      <c r="AD41" s="67">
        <f t="shared" si="28"/>
        <v>0</v>
      </c>
      <c r="AF41" s="8">
        <f t="shared" si="29"/>
        <v>0</v>
      </c>
      <c r="AG41" s="8">
        <f t="shared" si="30"/>
        <v>0</v>
      </c>
      <c r="AH41" s="67">
        <f t="shared" si="31"/>
        <v>0</v>
      </c>
    </row>
    <row r="42" spans="1:34" x14ac:dyDescent="0.45">
      <c r="A42" s="118">
        <f t="shared" si="1"/>
        <v>34</v>
      </c>
      <c r="B42" s="14">
        <v>353</v>
      </c>
      <c r="C42" s="21" t="s">
        <v>780</v>
      </c>
      <c r="D42" s="21" t="s">
        <v>845</v>
      </c>
      <c r="E42" s="20">
        <f>31703523-E43-E44-E45</f>
        <v>17297503</v>
      </c>
      <c r="F42" s="1">
        <v>108</v>
      </c>
      <c r="G42" s="1">
        <f>VLOOKUP($F42,AF!$B$39:$M$80,G$9)*$E42</f>
        <v>0</v>
      </c>
      <c r="H42" s="1">
        <f>VLOOKUP($F42,AF!$B$39:$M$80,H$9)*$E42</f>
        <v>0</v>
      </c>
      <c r="I42" s="1">
        <f>VLOOKUP($F42,AF!$B$39:$M$80,I$9)*$E42</f>
        <v>0</v>
      </c>
      <c r="J42" s="1">
        <f>VLOOKUP($F42,AF!$B$39:$M$80,J$9)*$E42</f>
        <v>0</v>
      </c>
      <c r="K42" s="1">
        <f>VLOOKUP($F42,AF!$B$39:$M$80,K$9)*$E42</f>
        <v>0</v>
      </c>
      <c r="L42" s="1">
        <f>VLOOKUP($F42,AF!$B$39:$M$80,L$9)*$E42</f>
        <v>0</v>
      </c>
      <c r="M42" s="1">
        <f>VLOOKUP($F42,AF!$B$39:$M$80,M$9)*$E42</f>
        <v>0</v>
      </c>
      <c r="N42" s="1">
        <f>VLOOKUP($F42,AF!$B$39:$M$80,N$9)*$E42</f>
        <v>0</v>
      </c>
      <c r="O42" s="1">
        <f>E42-SUM(G42:N42)</f>
        <v>17297503</v>
      </c>
      <c r="Q42" s="8">
        <f t="shared" si="25"/>
        <v>0</v>
      </c>
      <c r="R42" s="8">
        <f t="shared" si="26"/>
        <v>0</v>
      </c>
      <c r="S42" s="17">
        <f t="shared" si="27"/>
        <v>17297503</v>
      </c>
      <c r="U42" s="118">
        <v>300</v>
      </c>
      <c r="V42" s="67">
        <f>VLOOKUP($U42,AF!$B$39:$M$80,V$9)*G42</f>
        <v>0</v>
      </c>
      <c r="W42" s="67">
        <f>VLOOKUP($U42,AF!$B$39:$M$80,W$9)*H42</f>
        <v>0</v>
      </c>
      <c r="X42" s="67">
        <f>VLOOKUP($U42,AF!$B$39:$M$80,X$9)*I42</f>
        <v>0</v>
      </c>
      <c r="Y42" s="67">
        <f>VLOOKUP($U42,AF!$B$39:$M$80,Y$9)*J42</f>
        <v>0</v>
      </c>
      <c r="Z42" s="67">
        <f>VLOOKUP($U42,AF!$B$39:$M$80,Z$9)*K42</f>
        <v>0</v>
      </c>
      <c r="AA42" s="67">
        <f>VLOOKUP($U42,AF!$B$39:$M$80,AA$9)*L42</f>
        <v>0</v>
      </c>
      <c r="AB42" s="67">
        <f>VLOOKUP($U42,AF!$B$39:$M$80,AB$9)*M42</f>
        <v>0</v>
      </c>
      <c r="AC42" s="67">
        <f>VLOOKUP($U42,AF!$B$39:$M$80,AC$9)*N42</f>
        <v>0</v>
      </c>
      <c r="AD42" s="67">
        <f t="shared" si="28"/>
        <v>17297503</v>
      </c>
      <c r="AF42" s="8">
        <f t="shared" si="29"/>
        <v>0</v>
      </c>
      <c r="AG42" s="8">
        <f t="shared" si="30"/>
        <v>0</v>
      </c>
      <c r="AH42" s="67">
        <f t="shared" si="31"/>
        <v>17297503</v>
      </c>
    </row>
    <row r="43" spans="1:34" x14ac:dyDescent="0.45">
      <c r="A43" s="118">
        <f t="shared" si="1"/>
        <v>35</v>
      </c>
      <c r="B43" s="14" t="s">
        <v>556</v>
      </c>
      <c r="C43" s="21" t="s">
        <v>557</v>
      </c>
      <c r="E43" s="8">
        <f>SUM(G43:O43)</f>
        <v>8471519</v>
      </c>
      <c r="F43" s="1">
        <v>100</v>
      </c>
      <c r="G43" s="70">
        <v>306073</v>
      </c>
      <c r="H43" s="70">
        <v>0</v>
      </c>
      <c r="I43" s="70">
        <v>3135169</v>
      </c>
      <c r="J43" s="20">
        <v>0</v>
      </c>
      <c r="K43" s="70">
        <v>5030277</v>
      </c>
      <c r="L43" s="20">
        <v>0</v>
      </c>
      <c r="M43" s="70">
        <v>0</v>
      </c>
      <c r="N43" s="20">
        <v>0</v>
      </c>
      <c r="O43" s="70">
        <v>0</v>
      </c>
      <c r="Q43" s="8">
        <f t="shared" si="25"/>
        <v>8471519</v>
      </c>
      <c r="R43" s="8">
        <f t="shared" si="26"/>
        <v>0</v>
      </c>
      <c r="S43" s="17">
        <f t="shared" si="27"/>
        <v>8471519</v>
      </c>
      <c r="U43" s="118">
        <v>300</v>
      </c>
      <c r="V43" s="67">
        <f>VLOOKUP($U43,AF!$B$39:$M$80,V$9)*G43</f>
        <v>306073</v>
      </c>
      <c r="W43" s="67">
        <f>VLOOKUP($U43,AF!$B$39:$M$80,W$9)*H43</f>
        <v>0</v>
      </c>
      <c r="X43" s="67">
        <f>VLOOKUP($U43,AF!$B$39:$M$80,X$9)*I43</f>
        <v>3135169</v>
      </c>
      <c r="Y43" s="67">
        <f>VLOOKUP($U43,AF!$B$39:$M$80,Y$9)*J43</f>
        <v>0</v>
      </c>
      <c r="Z43" s="67">
        <f>VLOOKUP($U43,AF!$B$39:$M$80,Z$9)*K43</f>
        <v>5030277</v>
      </c>
      <c r="AA43" s="67">
        <f>VLOOKUP($U43,AF!$B$39:$M$80,AA$9)*L43</f>
        <v>0</v>
      </c>
      <c r="AB43" s="67">
        <f>VLOOKUP($U43,AF!$B$39:$M$80,AB$9)*M43</f>
        <v>0</v>
      </c>
      <c r="AC43" s="67">
        <f>VLOOKUP($U43,AF!$B$39:$M$80,AC$9)*N43</f>
        <v>0</v>
      </c>
      <c r="AD43" s="67">
        <f t="shared" si="28"/>
        <v>0</v>
      </c>
      <c r="AF43" s="8">
        <f t="shared" si="29"/>
        <v>8471519</v>
      </c>
      <c r="AG43" s="8">
        <f t="shared" si="30"/>
        <v>0</v>
      </c>
      <c r="AH43" s="67">
        <f t="shared" si="31"/>
        <v>8471519</v>
      </c>
    </row>
    <row r="44" spans="1:34" x14ac:dyDescent="0.45">
      <c r="A44" s="118">
        <f t="shared" si="1"/>
        <v>36</v>
      </c>
      <c r="B44" s="14" t="s">
        <v>574</v>
      </c>
      <c r="C44" s="21" t="s">
        <v>37</v>
      </c>
      <c r="E44" s="20">
        <v>5934501</v>
      </c>
      <c r="F44" s="1">
        <v>103</v>
      </c>
      <c r="G44" s="1">
        <f>VLOOKUP($F44,AF!$B$39:$M$80,G$9)*$E44</f>
        <v>17004.300859598854</v>
      </c>
      <c r="H44" s="1">
        <f>VLOOKUP($F44,AF!$B$39:$M$80,H$9)*$E44</f>
        <v>85021.504297994281</v>
      </c>
      <c r="I44" s="1">
        <f>VLOOKUP($F44,AF!$B$39:$M$80,I$9)*$E44</f>
        <v>85021.504297994281</v>
      </c>
      <c r="J44" s="1">
        <f>VLOOKUP($F44,AF!$B$39:$M$80,J$9)*$E44</f>
        <v>0</v>
      </c>
      <c r="K44" s="1">
        <f>VLOOKUP($F44,AF!$B$39:$M$80,K$9)*$E44</f>
        <v>289073.11461318051</v>
      </c>
      <c r="L44" s="1">
        <f>VLOOKUP($F44,AF!$B$39:$M$80,L$9)*$E44</f>
        <v>0</v>
      </c>
      <c r="M44" s="1">
        <f>VLOOKUP($F44,AF!$B$39:$M$80,M$9)*$E44</f>
        <v>0</v>
      </c>
      <c r="N44" s="1">
        <f>VLOOKUP($F44,AF!$B$39:$M$80,N$9)*$E44</f>
        <v>0</v>
      </c>
      <c r="O44" s="1">
        <f>E44-SUM(G44:N44)</f>
        <v>5458380.5759312324</v>
      </c>
      <c r="Q44" s="8">
        <f t="shared" si="25"/>
        <v>391098.91977077367</v>
      </c>
      <c r="R44" s="8">
        <f t="shared" si="26"/>
        <v>85021.504297994281</v>
      </c>
      <c r="S44" s="17">
        <f t="shared" si="27"/>
        <v>5934501</v>
      </c>
      <c r="U44" s="118">
        <v>300</v>
      </c>
      <c r="V44" s="67">
        <f>VLOOKUP($U44,AF!$B$39:$M$80,V$9)*G44</f>
        <v>17004.300859598854</v>
      </c>
      <c r="W44" s="67">
        <f>VLOOKUP($U44,AF!$B$39:$M$80,W$9)*H44</f>
        <v>85021.504297994281</v>
      </c>
      <c r="X44" s="67">
        <f>VLOOKUP($U44,AF!$B$39:$M$80,X$9)*I44</f>
        <v>85021.504297994281</v>
      </c>
      <c r="Y44" s="67">
        <f>VLOOKUP($U44,AF!$B$39:$M$80,Y$9)*J44</f>
        <v>0</v>
      </c>
      <c r="Z44" s="67">
        <f>VLOOKUP($U44,AF!$B$39:$M$80,Z$9)*K44</f>
        <v>289073.11461318051</v>
      </c>
      <c r="AA44" s="67">
        <f>VLOOKUP($U44,AF!$B$39:$M$80,AA$9)*L44</f>
        <v>0</v>
      </c>
      <c r="AB44" s="67">
        <f>VLOOKUP($U44,AF!$B$39:$M$80,AB$9)*M44</f>
        <v>0</v>
      </c>
      <c r="AC44" s="67">
        <f>VLOOKUP($U44,AF!$B$39:$M$80,AC$9)*N44</f>
        <v>0</v>
      </c>
      <c r="AD44" s="67">
        <f t="shared" si="28"/>
        <v>5458380.5759312324</v>
      </c>
      <c r="AF44" s="8">
        <f t="shared" si="29"/>
        <v>391098.91977077367</v>
      </c>
      <c r="AG44" s="8">
        <f t="shared" si="30"/>
        <v>85021.504297994281</v>
      </c>
      <c r="AH44" s="67">
        <f t="shared" si="31"/>
        <v>5934501</v>
      </c>
    </row>
    <row r="45" spans="1:34" x14ac:dyDescent="0.45">
      <c r="A45" s="118">
        <f t="shared" si="1"/>
        <v>37</v>
      </c>
      <c r="B45" s="14" t="s">
        <v>575</v>
      </c>
      <c r="C45" s="21" t="s">
        <v>558</v>
      </c>
      <c r="E45" s="8">
        <f>SUM(G45:O45)</f>
        <v>0</v>
      </c>
      <c r="F45" s="1">
        <v>100</v>
      </c>
      <c r="G45" s="70">
        <v>0</v>
      </c>
      <c r="H45" s="70">
        <v>0</v>
      </c>
      <c r="I45" s="70">
        <v>0</v>
      </c>
      <c r="J45" s="70">
        <v>0</v>
      </c>
      <c r="K45" s="70">
        <v>0</v>
      </c>
      <c r="L45" s="70">
        <v>0</v>
      </c>
      <c r="M45" s="70">
        <v>0</v>
      </c>
      <c r="N45" s="70">
        <v>0</v>
      </c>
      <c r="O45" s="70">
        <v>0</v>
      </c>
      <c r="Q45" s="8">
        <f t="shared" si="25"/>
        <v>0</v>
      </c>
      <c r="R45" s="8">
        <f t="shared" si="26"/>
        <v>0</v>
      </c>
      <c r="S45" s="17">
        <f t="shared" si="27"/>
        <v>0</v>
      </c>
      <c r="U45" s="118">
        <v>300</v>
      </c>
      <c r="V45" s="67">
        <f>VLOOKUP($U45,AF!$B$39:$M$80,V$9)*G45</f>
        <v>0</v>
      </c>
      <c r="W45" s="67">
        <f>VLOOKUP($U45,AF!$B$39:$M$80,W$9)*H45</f>
        <v>0</v>
      </c>
      <c r="X45" s="67">
        <f>VLOOKUP($U45,AF!$B$39:$M$80,X$9)*I45</f>
        <v>0</v>
      </c>
      <c r="Y45" s="67">
        <f>VLOOKUP($U45,AF!$B$39:$M$80,Y$9)*J45</f>
        <v>0</v>
      </c>
      <c r="Z45" s="67">
        <f>VLOOKUP($U45,AF!$B$39:$M$80,Z$9)*K45</f>
        <v>0</v>
      </c>
      <c r="AA45" s="67">
        <f>VLOOKUP($U45,AF!$B$39:$M$80,AA$9)*L45</f>
        <v>0</v>
      </c>
      <c r="AB45" s="67">
        <f>VLOOKUP($U45,AF!$B$39:$M$80,AB$9)*M45</f>
        <v>0</v>
      </c>
      <c r="AC45" s="67">
        <f>VLOOKUP($U45,AF!$B$39:$M$80,AC$9)*N45</f>
        <v>0</v>
      </c>
      <c r="AD45" s="67">
        <f t="shared" si="28"/>
        <v>0</v>
      </c>
      <c r="AF45" s="8">
        <f t="shared" si="29"/>
        <v>0</v>
      </c>
      <c r="AG45" s="8">
        <f t="shared" si="30"/>
        <v>0</v>
      </c>
      <c r="AH45" s="67">
        <f t="shared" si="31"/>
        <v>0</v>
      </c>
    </row>
    <row r="46" spans="1:34" x14ac:dyDescent="0.45">
      <c r="A46" s="118">
        <f t="shared" si="1"/>
        <v>38</v>
      </c>
      <c r="B46" s="14">
        <v>354</v>
      </c>
      <c r="C46" s="21" t="s">
        <v>450</v>
      </c>
      <c r="D46" s="21" t="s">
        <v>451</v>
      </c>
      <c r="E46" s="25">
        <f>0-E47</f>
        <v>0</v>
      </c>
      <c r="F46" s="1">
        <v>108</v>
      </c>
      <c r="G46" s="1">
        <f>VLOOKUP($F46,AF!$B$39:$M$80,G$9)*$E46</f>
        <v>0</v>
      </c>
      <c r="H46" s="1">
        <f>VLOOKUP($F46,AF!$B$39:$M$80,H$9)*$E46</f>
        <v>0</v>
      </c>
      <c r="I46" s="1">
        <f>VLOOKUP($F46,AF!$B$39:$M$80,I$9)*$E46</f>
        <v>0</v>
      </c>
      <c r="J46" s="1">
        <f>VLOOKUP($F46,AF!$B$39:$M$80,J$9)*$E46</f>
        <v>0</v>
      </c>
      <c r="K46" s="1">
        <f>VLOOKUP($F46,AF!$B$39:$M$80,K$9)*$E46</f>
        <v>0</v>
      </c>
      <c r="L46" s="1">
        <f>VLOOKUP($F46,AF!$B$39:$M$80,L$9)*$E46</f>
        <v>0</v>
      </c>
      <c r="M46" s="1">
        <f>VLOOKUP($F46,AF!$B$39:$M$80,M$9)*$E46</f>
        <v>0</v>
      </c>
      <c r="N46" s="1">
        <f>VLOOKUP($F46,AF!$B$39:$M$80,N$9)*$E46</f>
        <v>0</v>
      </c>
      <c r="O46" s="1">
        <f>E46-SUM(G46:N46)</f>
        <v>0</v>
      </c>
      <c r="Q46" s="8">
        <f t="shared" si="25"/>
        <v>0</v>
      </c>
      <c r="R46" s="8">
        <f t="shared" si="26"/>
        <v>0</v>
      </c>
      <c r="S46" s="17">
        <f t="shared" si="27"/>
        <v>0</v>
      </c>
      <c r="U46" s="118">
        <v>300</v>
      </c>
      <c r="V46" s="67">
        <f>VLOOKUP($U46,AF!$B$39:$M$80,V$9)*G46</f>
        <v>0</v>
      </c>
      <c r="W46" s="67">
        <f>VLOOKUP($U46,AF!$B$39:$M$80,W$9)*H46</f>
        <v>0</v>
      </c>
      <c r="X46" s="67">
        <f>VLOOKUP($U46,AF!$B$39:$M$80,X$9)*I46</f>
        <v>0</v>
      </c>
      <c r="Y46" s="67">
        <f>VLOOKUP($U46,AF!$B$39:$M$80,Y$9)*J46</f>
        <v>0</v>
      </c>
      <c r="Z46" s="67">
        <f>VLOOKUP($U46,AF!$B$39:$M$80,Z$9)*K46</f>
        <v>0</v>
      </c>
      <c r="AA46" s="67">
        <f>VLOOKUP($U46,AF!$B$39:$M$80,AA$9)*L46</f>
        <v>0</v>
      </c>
      <c r="AB46" s="67">
        <f>VLOOKUP($U46,AF!$B$39:$M$80,AB$9)*M46</f>
        <v>0</v>
      </c>
      <c r="AC46" s="67">
        <f>VLOOKUP($U46,AF!$B$39:$M$80,AC$9)*N46</f>
        <v>0</v>
      </c>
      <c r="AD46" s="67">
        <f t="shared" si="28"/>
        <v>0</v>
      </c>
      <c r="AF46" s="8">
        <f t="shared" si="29"/>
        <v>0</v>
      </c>
      <c r="AG46" s="8">
        <f t="shared" si="30"/>
        <v>0</v>
      </c>
      <c r="AH46" s="67">
        <f t="shared" si="31"/>
        <v>0</v>
      </c>
    </row>
    <row r="47" spans="1:34" x14ac:dyDescent="0.45">
      <c r="A47" s="118">
        <f t="shared" si="1"/>
        <v>39</v>
      </c>
      <c r="B47" s="14" t="s">
        <v>559</v>
      </c>
      <c r="C47" s="21" t="s">
        <v>560</v>
      </c>
      <c r="E47" s="8">
        <f>SUM(G47:O47)</f>
        <v>0</v>
      </c>
      <c r="F47" s="1">
        <v>100</v>
      </c>
      <c r="G47" s="70">
        <v>0</v>
      </c>
      <c r="H47" s="70">
        <v>0</v>
      </c>
      <c r="I47" s="70">
        <v>0</v>
      </c>
      <c r="J47" s="70">
        <v>0</v>
      </c>
      <c r="K47" s="70">
        <v>0</v>
      </c>
      <c r="L47" s="70">
        <v>0</v>
      </c>
      <c r="M47" s="70">
        <v>0</v>
      </c>
      <c r="N47" s="70">
        <v>0</v>
      </c>
      <c r="O47" s="70">
        <v>0</v>
      </c>
      <c r="Q47" s="8">
        <f t="shared" si="25"/>
        <v>0</v>
      </c>
      <c r="R47" s="8">
        <f t="shared" si="26"/>
        <v>0</v>
      </c>
      <c r="S47" s="17">
        <f t="shared" si="27"/>
        <v>0</v>
      </c>
      <c r="U47" s="118">
        <v>300</v>
      </c>
      <c r="V47" s="67">
        <f>VLOOKUP($U47,AF!$B$39:$M$80,V$9)*G47</f>
        <v>0</v>
      </c>
      <c r="W47" s="67">
        <f>VLOOKUP($U47,AF!$B$39:$M$80,W$9)*H47</f>
        <v>0</v>
      </c>
      <c r="X47" s="67">
        <f>VLOOKUP($U47,AF!$B$39:$M$80,X$9)*I47</f>
        <v>0</v>
      </c>
      <c r="Y47" s="67">
        <f>VLOOKUP($U47,AF!$B$39:$M$80,Y$9)*J47</f>
        <v>0</v>
      </c>
      <c r="Z47" s="67">
        <f>VLOOKUP($U47,AF!$B$39:$M$80,Z$9)*K47</f>
        <v>0</v>
      </c>
      <c r="AA47" s="67">
        <f>VLOOKUP($U47,AF!$B$39:$M$80,AA$9)*L47</f>
        <v>0</v>
      </c>
      <c r="AB47" s="67">
        <f>VLOOKUP($U47,AF!$B$39:$M$80,AB$9)*M47</f>
        <v>0</v>
      </c>
      <c r="AC47" s="67">
        <f>VLOOKUP($U47,AF!$B$39:$M$80,AC$9)*N47</f>
        <v>0</v>
      </c>
      <c r="AD47" s="67">
        <f t="shared" si="28"/>
        <v>0</v>
      </c>
      <c r="AF47" s="8">
        <f t="shared" si="29"/>
        <v>0</v>
      </c>
      <c r="AG47" s="8">
        <f t="shared" si="30"/>
        <v>0</v>
      </c>
      <c r="AH47" s="67">
        <f t="shared" si="31"/>
        <v>0</v>
      </c>
    </row>
    <row r="48" spans="1:34" x14ac:dyDescent="0.45">
      <c r="A48" s="118">
        <f t="shared" si="1"/>
        <v>40</v>
      </c>
      <c r="B48" s="14">
        <v>355</v>
      </c>
      <c r="C48" s="21" t="s">
        <v>31</v>
      </c>
      <c r="D48" s="21" t="s">
        <v>82</v>
      </c>
      <c r="E48" s="20">
        <f>19323044-E49</f>
        <v>0</v>
      </c>
      <c r="F48" s="1">
        <v>108</v>
      </c>
      <c r="G48" s="1">
        <f>VLOOKUP($F48,AF!$B$39:$M$80,G$9)*$E48</f>
        <v>0</v>
      </c>
      <c r="H48" s="1">
        <f>VLOOKUP($F48,AF!$B$39:$M$80,H$9)*$E48</f>
        <v>0</v>
      </c>
      <c r="I48" s="1">
        <f>VLOOKUP($F48,AF!$B$39:$M$80,I$9)*$E48</f>
        <v>0</v>
      </c>
      <c r="J48" s="1">
        <f>VLOOKUP($F48,AF!$B$39:$M$80,J$9)*$E48</f>
        <v>0</v>
      </c>
      <c r="K48" s="1">
        <f>VLOOKUP($F48,AF!$B$39:$M$80,K$9)*$E48</f>
        <v>0</v>
      </c>
      <c r="L48" s="1">
        <f>VLOOKUP($F48,AF!$B$39:$M$80,L$9)*$E48</f>
        <v>0</v>
      </c>
      <c r="M48" s="1">
        <f>VLOOKUP($F48,AF!$B$39:$M$80,M$9)*$E48</f>
        <v>0</v>
      </c>
      <c r="N48" s="1">
        <f>VLOOKUP($F48,AF!$B$39:$M$80,N$9)*$E48</f>
        <v>0</v>
      </c>
      <c r="O48" s="1">
        <f>E48-SUM(G48:N48)</f>
        <v>0</v>
      </c>
      <c r="Q48" s="8">
        <f t="shared" si="25"/>
        <v>0</v>
      </c>
      <c r="R48" s="8">
        <f t="shared" si="26"/>
        <v>0</v>
      </c>
      <c r="S48" s="17">
        <f t="shared" si="27"/>
        <v>0</v>
      </c>
      <c r="U48" s="118">
        <v>300</v>
      </c>
      <c r="V48" s="67">
        <f>VLOOKUP($U48,AF!$B$39:$M$80,V$9)*G48</f>
        <v>0</v>
      </c>
      <c r="W48" s="67">
        <f>VLOOKUP($U48,AF!$B$39:$M$80,W$9)*H48</f>
        <v>0</v>
      </c>
      <c r="X48" s="67">
        <f>VLOOKUP($U48,AF!$B$39:$M$80,X$9)*I48</f>
        <v>0</v>
      </c>
      <c r="Y48" s="67">
        <f>VLOOKUP($U48,AF!$B$39:$M$80,Y$9)*J48</f>
        <v>0</v>
      </c>
      <c r="Z48" s="67">
        <f>VLOOKUP($U48,AF!$B$39:$M$80,Z$9)*K48</f>
        <v>0</v>
      </c>
      <c r="AA48" s="67">
        <f>VLOOKUP($U48,AF!$B$39:$M$80,AA$9)*L48</f>
        <v>0</v>
      </c>
      <c r="AB48" s="67">
        <f>VLOOKUP($U48,AF!$B$39:$M$80,AB$9)*M48</f>
        <v>0</v>
      </c>
      <c r="AC48" s="67">
        <f>VLOOKUP($U48,AF!$B$39:$M$80,AC$9)*N48</f>
        <v>0</v>
      </c>
      <c r="AD48" s="67">
        <f t="shared" si="28"/>
        <v>0</v>
      </c>
      <c r="AF48" s="8">
        <f t="shared" si="29"/>
        <v>0</v>
      </c>
      <c r="AG48" s="8">
        <f t="shared" si="30"/>
        <v>0</v>
      </c>
      <c r="AH48" s="67">
        <f t="shared" si="31"/>
        <v>0</v>
      </c>
    </row>
    <row r="49" spans="1:34" x14ac:dyDescent="0.45">
      <c r="A49" s="118">
        <f t="shared" si="1"/>
        <v>41</v>
      </c>
      <c r="B49" s="14" t="s">
        <v>561</v>
      </c>
      <c r="C49" s="21" t="s">
        <v>562</v>
      </c>
      <c r="E49" s="8">
        <f>SUM(G49:O49)</f>
        <v>19323044</v>
      </c>
      <c r="F49" s="1">
        <v>100</v>
      </c>
      <c r="G49" s="70">
        <v>2080895</v>
      </c>
      <c r="H49" s="70">
        <v>473942</v>
      </c>
      <c r="I49" s="70">
        <v>11319994</v>
      </c>
      <c r="J49" s="70">
        <v>0</v>
      </c>
      <c r="K49" s="70">
        <v>3052068</v>
      </c>
      <c r="L49" s="70">
        <v>0</v>
      </c>
      <c r="M49" s="70">
        <v>0</v>
      </c>
      <c r="N49" s="70">
        <v>0</v>
      </c>
      <c r="O49" s="70">
        <v>2396145</v>
      </c>
      <c r="Q49" s="8">
        <f t="shared" si="25"/>
        <v>16452957</v>
      </c>
      <c r="R49" s="8">
        <f t="shared" si="26"/>
        <v>473942</v>
      </c>
      <c r="S49" s="17">
        <f t="shared" si="27"/>
        <v>19323044</v>
      </c>
      <c r="U49" s="118">
        <v>300</v>
      </c>
      <c r="V49" s="67">
        <f>VLOOKUP($U49,AF!$B$39:$M$80,V$9)*G49</f>
        <v>2080895</v>
      </c>
      <c r="W49" s="67">
        <f>VLOOKUP($U49,AF!$B$39:$M$80,W$9)*H49</f>
        <v>473942</v>
      </c>
      <c r="X49" s="67">
        <f>VLOOKUP($U49,AF!$B$39:$M$80,X$9)*I49</f>
        <v>11319994</v>
      </c>
      <c r="Y49" s="67">
        <f>VLOOKUP($U49,AF!$B$39:$M$80,Y$9)*J49</f>
        <v>0</v>
      </c>
      <c r="Z49" s="67">
        <f>VLOOKUP($U49,AF!$B$39:$M$80,Z$9)*K49</f>
        <v>3052068</v>
      </c>
      <c r="AA49" s="67">
        <f>VLOOKUP($U49,AF!$B$39:$M$80,AA$9)*L49</f>
        <v>0</v>
      </c>
      <c r="AB49" s="67">
        <f>VLOOKUP($U49,AF!$B$39:$M$80,AB$9)*M49</f>
        <v>0</v>
      </c>
      <c r="AC49" s="67">
        <f>VLOOKUP($U49,AF!$B$39:$M$80,AC$9)*N49</f>
        <v>0</v>
      </c>
      <c r="AD49" s="67">
        <f t="shared" si="28"/>
        <v>2396145</v>
      </c>
      <c r="AF49" s="8">
        <f t="shared" si="29"/>
        <v>16452957</v>
      </c>
      <c r="AG49" s="8">
        <f t="shared" si="30"/>
        <v>473942</v>
      </c>
      <c r="AH49" s="67">
        <f t="shared" si="31"/>
        <v>19323044</v>
      </c>
    </row>
    <row r="50" spans="1:34" x14ac:dyDescent="0.45">
      <c r="A50" s="118">
        <f t="shared" si="1"/>
        <v>42</v>
      </c>
      <c r="B50" s="14">
        <v>356</v>
      </c>
      <c r="C50" s="21" t="s">
        <v>458</v>
      </c>
      <c r="D50" s="21" t="s">
        <v>83</v>
      </c>
      <c r="E50" s="20">
        <f>7566168-E51</f>
        <v>0</v>
      </c>
      <c r="F50" s="1">
        <v>108</v>
      </c>
      <c r="G50" s="1">
        <f>VLOOKUP($F50,AF!$B$39:$M$80,G$9)*$E50</f>
        <v>0</v>
      </c>
      <c r="H50" s="1">
        <f>VLOOKUP($F50,AF!$B$39:$M$80,H$9)*$E50</f>
        <v>0</v>
      </c>
      <c r="I50" s="1">
        <f>VLOOKUP($F50,AF!$B$39:$M$80,I$9)*$E50</f>
        <v>0</v>
      </c>
      <c r="J50" s="1">
        <f>VLOOKUP($F50,AF!$B$39:$M$80,J$9)*$E50</f>
        <v>0</v>
      </c>
      <c r="K50" s="1">
        <f>VLOOKUP($F50,AF!$B$39:$M$80,K$9)*$E50</f>
        <v>0</v>
      </c>
      <c r="L50" s="1">
        <f>VLOOKUP($F50,AF!$B$39:$M$80,L$9)*$E50</f>
        <v>0</v>
      </c>
      <c r="M50" s="1">
        <f>VLOOKUP($F50,AF!$B$39:$M$80,M$9)*$E50</f>
        <v>0</v>
      </c>
      <c r="N50" s="1">
        <f>VLOOKUP($F50,AF!$B$39:$M$80,N$9)*$E50</f>
        <v>0</v>
      </c>
      <c r="O50" s="1">
        <f>E50-SUM(G50:N50)</f>
        <v>0</v>
      </c>
      <c r="Q50" s="8">
        <f t="shared" si="25"/>
        <v>0</v>
      </c>
      <c r="R50" s="8">
        <f t="shared" si="26"/>
        <v>0</v>
      </c>
      <c r="S50" s="17">
        <f t="shared" si="27"/>
        <v>0</v>
      </c>
      <c r="U50" s="118">
        <v>300</v>
      </c>
      <c r="V50" s="67">
        <f>VLOOKUP($U50,AF!$B$39:$M$80,V$9)*G50</f>
        <v>0</v>
      </c>
      <c r="W50" s="67">
        <f>VLOOKUP($U50,AF!$B$39:$M$80,W$9)*H50</f>
        <v>0</v>
      </c>
      <c r="X50" s="67">
        <f>VLOOKUP($U50,AF!$B$39:$M$80,X$9)*I50</f>
        <v>0</v>
      </c>
      <c r="Y50" s="67">
        <f>VLOOKUP($U50,AF!$B$39:$M$80,Y$9)*J50</f>
        <v>0</v>
      </c>
      <c r="Z50" s="67">
        <f>VLOOKUP($U50,AF!$B$39:$M$80,Z$9)*K50</f>
        <v>0</v>
      </c>
      <c r="AA50" s="67">
        <f>VLOOKUP($U50,AF!$B$39:$M$80,AA$9)*L50</f>
        <v>0</v>
      </c>
      <c r="AB50" s="67">
        <f>VLOOKUP($U50,AF!$B$39:$M$80,AB$9)*M50</f>
        <v>0</v>
      </c>
      <c r="AC50" s="67">
        <f>VLOOKUP($U50,AF!$B$39:$M$80,AC$9)*N50</f>
        <v>0</v>
      </c>
      <c r="AD50" s="67">
        <f t="shared" si="28"/>
        <v>0</v>
      </c>
      <c r="AF50" s="8">
        <f t="shared" si="29"/>
        <v>0</v>
      </c>
      <c r="AG50" s="8">
        <f t="shared" si="30"/>
        <v>0</v>
      </c>
      <c r="AH50" s="67">
        <f t="shared" si="31"/>
        <v>0</v>
      </c>
    </row>
    <row r="51" spans="1:34" x14ac:dyDescent="0.45">
      <c r="A51" s="118">
        <f t="shared" si="1"/>
        <v>43</v>
      </c>
      <c r="B51" s="14" t="s">
        <v>563</v>
      </c>
      <c r="C51" s="21" t="s">
        <v>564</v>
      </c>
      <c r="E51" s="8">
        <f>SUM(G51:O51)</f>
        <v>7566168</v>
      </c>
      <c r="F51" s="1">
        <v>100</v>
      </c>
      <c r="G51" s="70">
        <v>1657613</v>
      </c>
      <c r="H51" s="70">
        <v>627146</v>
      </c>
      <c r="I51" s="70">
        <v>33611</v>
      </c>
      <c r="J51" s="70">
        <v>0</v>
      </c>
      <c r="K51" s="70">
        <v>3569188</v>
      </c>
      <c r="L51" s="70">
        <v>0</v>
      </c>
      <c r="M51" s="70">
        <v>0</v>
      </c>
      <c r="N51" s="70">
        <v>0</v>
      </c>
      <c r="O51" s="70">
        <v>1678610</v>
      </c>
      <c r="Q51" s="8">
        <f t="shared" si="25"/>
        <v>5260412</v>
      </c>
      <c r="R51" s="8">
        <f t="shared" si="26"/>
        <v>627146</v>
      </c>
      <c r="S51" s="17">
        <f t="shared" si="27"/>
        <v>7566168</v>
      </c>
      <c r="U51" s="118">
        <v>300</v>
      </c>
      <c r="V51" s="67">
        <f>VLOOKUP($U51,AF!$B$39:$M$80,V$9)*G51</f>
        <v>1657613</v>
      </c>
      <c r="W51" s="67">
        <f>VLOOKUP($U51,AF!$B$39:$M$80,W$9)*H51</f>
        <v>627146</v>
      </c>
      <c r="X51" s="67">
        <f>VLOOKUP($U51,AF!$B$39:$M$80,X$9)*I51</f>
        <v>33611</v>
      </c>
      <c r="Y51" s="67">
        <f>VLOOKUP($U51,AF!$B$39:$M$80,Y$9)*J51</f>
        <v>0</v>
      </c>
      <c r="Z51" s="67">
        <f>VLOOKUP($U51,AF!$B$39:$M$80,Z$9)*K51</f>
        <v>3569188</v>
      </c>
      <c r="AA51" s="67">
        <f>VLOOKUP($U51,AF!$B$39:$M$80,AA$9)*L51</f>
        <v>0</v>
      </c>
      <c r="AB51" s="67">
        <f>VLOOKUP($U51,AF!$B$39:$M$80,AB$9)*M51</f>
        <v>0</v>
      </c>
      <c r="AC51" s="67">
        <f>VLOOKUP($U51,AF!$B$39:$M$80,AC$9)*N51</f>
        <v>0</v>
      </c>
      <c r="AD51" s="67">
        <f t="shared" si="28"/>
        <v>1678610</v>
      </c>
      <c r="AF51" s="8">
        <f t="shared" si="29"/>
        <v>5260412</v>
      </c>
      <c r="AG51" s="8">
        <f t="shared" si="30"/>
        <v>627146</v>
      </c>
      <c r="AH51" s="67">
        <f t="shared" si="31"/>
        <v>7566168</v>
      </c>
    </row>
    <row r="52" spans="1:34" x14ac:dyDescent="0.45">
      <c r="A52" s="118">
        <f t="shared" si="1"/>
        <v>44</v>
      </c>
      <c r="B52" s="14">
        <v>357</v>
      </c>
      <c r="C52" s="21" t="s">
        <v>452</v>
      </c>
      <c r="D52" s="21" t="s">
        <v>453</v>
      </c>
      <c r="E52" s="25">
        <f>0-E53</f>
        <v>0</v>
      </c>
      <c r="F52" s="1">
        <v>108</v>
      </c>
      <c r="G52" s="1">
        <f>VLOOKUP($F52,AF!$B$39:$M$80,G$9)*$E52</f>
        <v>0</v>
      </c>
      <c r="H52" s="1">
        <f>VLOOKUP($F52,AF!$B$39:$M$80,H$9)*$E52</f>
        <v>0</v>
      </c>
      <c r="I52" s="1">
        <f>VLOOKUP($F52,AF!$B$39:$M$80,I$9)*$E52</f>
        <v>0</v>
      </c>
      <c r="J52" s="1">
        <f>VLOOKUP($F52,AF!$B$39:$M$80,J$9)*$E52</f>
        <v>0</v>
      </c>
      <c r="K52" s="1">
        <f>VLOOKUP($F52,AF!$B$39:$M$80,K$9)*$E52</f>
        <v>0</v>
      </c>
      <c r="L52" s="1">
        <f>VLOOKUP($F52,AF!$B$39:$M$80,L$9)*$E52</f>
        <v>0</v>
      </c>
      <c r="M52" s="1">
        <f>VLOOKUP($F52,AF!$B$39:$M$80,M$9)*$E52</f>
        <v>0</v>
      </c>
      <c r="N52" s="1">
        <f>VLOOKUP($F52,AF!$B$39:$M$80,N$9)*$E52</f>
        <v>0</v>
      </c>
      <c r="O52" s="1">
        <f>E52-SUM(G52:N52)</f>
        <v>0</v>
      </c>
      <c r="Q52" s="8">
        <f t="shared" si="25"/>
        <v>0</v>
      </c>
      <c r="R52" s="8">
        <f t="shared" si="26"/>
        <v>0</v>
      </c>
      <c r="S52" s="17">
        <f t="shared" si="27"/>
        <v>0</v>
      </c>
      <c r="U52" s="118">
        <v>300</v>
      </c>
      <c r="V52" s="67">
        <f>VLOOKUP($U52,AF!$B$39:$M$80,V$9)*G52</f>
        <v>0</v>
      </c>
      <c r="W52" s="67">
        <f>VLOOKUP($U52,AF!$B$39:$M$80,W$9)*H52</f>
        <v>0</v>
      </c>
      <c r="X52" s="67">
        <f>VLOOKUP($U52,AF!$B$39:$M$80,X$9)*I52</f>
        <v>0</v>
      </c>
      <c r="Y52" s="67">
        <f>VLOOKUP($U52,AF!$B$39:$M$80,Y$9)*J52</f>
        <v>0</v>
      </c>
      <c r="Z52" s="67">
        <f>VLOOKUP($U52,AF!$B$39:$M$80,Z$9)*K52</f>
        <v>0</v>
      </c>
      <c r="AA52" s="67">
        <f>VLOOKUP($U52,AF!$B$39:$M$80,AA$9)*L52</f>
        <v>0</v>
      </c>
      <c r="AB52" s="67">
        <f>VLOOKUP($U52,AF!$B$39:$M$80,AB$9)*M52</f>
        <v>0</v>
      </c>
      <c r="AC52" s="67">
        <f>VLOOKUP($U52,AF!$B$39:$M$80,AC$9)*N52</f>
        <v>0</v>
      </c>
      <c r="AD52" s="67">
        <f t="shared" si="28"/>
        <v>0</v>
      </c>
      <c r="AF52" s="8">
        <f t="shared" si="29"/>
        <v>0</v>
      </c>
      <c r="AG52" s="8">
        <f t="shared" si="30"/>
        <v>0</v>
      </c>
      <c r="AH52" s="67">
        <f t="shared" si="31"/>
        <v>0</v>
      </c>
    </row>
    <row r="53" spans="1:34" x14ac:dyDescent="0.45">
      <c r="A53" s="118">
        <f t="shared" si="1"/>
        <v>45</v>
      </c>
      <c r="B53" s="14" t="s">
        <v>565</v>
      </c>
      <c r="C53" s="21" t="s">
        <v>566</v>
      </c>
      <c r="E53" s="8">
        <f>SUM(G53:O53)</f>
        <v>0</v>
      </c>
      <c r="F53" s="1">
        <v>100</v>
      </c>
      <c r="G53" s="70">
        <v>0</v>
      </c>
      <c r="H53" s="70">
        <v>0</v>
      </c>
      <c r="I53" s="70">
        <v>0</v>
      </c>
      <c r="J53" s="70">
        <v>0</v>
      </c>
      <c r="K53" s="70">
        <v>0</v>
      </c>
      <c r="L53" s="70">
        <v>0</v>
      </c>
      <c r="M53" s="70">
        <v>0</v>
      </c>
      <c r="N53" s="70">
        <v>0</v>
      </c>
      <c r="O53" s="70">
        <v>0</v>
      </c>
      <c r="Q53" s="8">
        <f t="shared" si="25"/>
        <v>0</v>
      </c>
      <c r="R53" s="8">
        <f t="shared" si="26"/>
        <v>0</v>
      </c>
      <c r="S53" s="17">
        <f t="shared" si="27"/>
        <v>0</v>
      </c>
      <c r="U53" s="118">
        <v>300</v>
      </c>
      <c r="V53" s="67">
        <f>VLOOKUP($U53,AF!$B$39:$M$80,V$9)*G53</f>
        <v>0</v>
      </c>
      <c r="W53" s="67">
        <f>VLOOKUP($U53,AF!$B$39:$M$80,W$9)*H53</f>
        <v>0</v>
      </c>
      <c r="X53" s="67">
        <f>VLOOKUP($U53,AF!$B$39:$M$80,X$9)*I53</f>
        <v>0</v>
      </c>
      <c r="Y53" s="67">
        <f>VLOOKUP($U53,AF!$B$39:$M$80,Y$9)*J53</f>
        <v>0</v>
      </c>
      <c r="Z53" s="67">
        <f>VLOOKUP($U53,AF!$B$39:$M$80,Z$9)*K53</f>
        <v>0</v>
      </c>
      <c r="AA53" s="67">
        <f>VLOOKUP($U53,AF!$B$39:$M$80,AA$9)*L53</f>
        <v>0</v>
      </c>
      <c r="AB53" s="67">
        <f>VLOOKUP($U53,AF!$B$39:$M$80,AB$9)*M53</f>
        <v>0</v>
      </c>
      <c r="AC53" s="67">
        <f>VLOOKUP($U53,AF!$B$39:$M$80,AC$9)*N53</f>
        <v>0</v>
      </c>
      <c r="AD53" s="67">
        <f t="shared" si="28"/>
        <v>0</v>
      </c>
      <c r="AF53" s="8">
        <f t="shared" si="29"/>
        <v>0</v>
      </c>
      <c r="AG53" s="8">
        <f t="shared" si="30"/>
        <v>0</v>
      </c>
      <c r="AH53" s="67">
        <f t="shared" si="31"/>
        <v>0</v>
      </c>
    </row>
    <row r="54" spans="1:34" x14ac:dyDescent="0.45">
      <c r="A54" s="118">
        <f t="shared" si="1"/>
        <v>46</v>
      </c>
      <c r="B54" s="14">
        <v>358</v>
      </c>
      <c r="C54" s="21" t="s">
        <v>454</v>
      </c>
      <c r="D54" s="21" t="s">
        <v>455</v>
      </c>
      <c r="E54" s="25">
        <f>0-E55</f>
        <v>0</v>
      </c>
      <c r="F54" s="1">
        <v>108</v>
      </c>
      <c r="G54" s="1">
        <f>VLOOKUP($F54,AF!$B$39:$M$80,G$9)*$E54</f>
        <v>0</v>
      </c>
      <c r="H54" s="1">
        <f>VLOOKUP($F54,AF!$B$39:$M$80,H$9)*$E54</f>
        <v>0</v>
      </c>
      <c r="I54" s="1">
        <f>VLOOKUP($F54,AF!$B$39:$M$80,I$9)*$E54</f>
        <v>0</v>
      </c>
      <c r="J54" s="1">
        <f>VLOOKUP($F54,AF!$B$39:$M$80,J$9)*$E54</f>
        <v>0</v>
      </c>
      <c r="K54" s="1">
        <f>VLOOKUP($F54,AF!$B$39:$M$80,K$9)*$E54</f>
        <v>0</v>
      </c>
      <c r="L54" s="1">
        <f>VLOOKUP($F54,AF!$B$39:$M$80,L$9)*$E54</f>
        <v>0</v>
      </c>
      <c r="M54" s="1">
        <f>VLOOKUP($F54,AF!$B$39:$M$80,M$9)*$E54</f>
        <v>0</v>
      </c>
      <c r="N54" s="1">
        <f>VLOOKUP($F54,AF!$B$39:$M$80,N$9)*$E54</f>
        <v>0</v>
      </c>
      <c r="O54" s="1">
        <f>E54-SUM(G54:N54)</f>
        <v>0</v>
      </c>
      <c r="Q54" s="8">
        <f t="shared" si="25"/>
        <v>0</v>
      </c>
      <c r="R54" s="8">
        <f t="shared" si="26"/>
        <v>0</v>
      </c>
      <c r="S54" s="17">
        <f t="shared" si="27"/>
        <v>0</v>
      </c>
      <c r="U54" s="118">
        <v>300</v>
      </c>
      <c r="V54" s="67">
        <f>VLOOKUP($U54,AF!$B$39:$M$80,V$9)*G54</f>
        <v>0</v>
      </c>
      <c r="W54" s="67">
        <f>VLOOKUP($U54,AF!$B$39:$M$80,W$9)*H54</f>
        <v>0</v>
      </c>
      <c r="X54" s="67">
        <f>VLOOKUP($U54,AF!$B$39:$M$80,X$9)*I54</f>
        <v>0</v>
      </c>
      <c r="Y54" s="67">
        <f>VLOOKUP($U54,AF!$B$39:$M$80,Y$9)*J54</f>
        <v>0</v>
      </c>
      <c r="Z54" s="67">
        <f>VLOOKUP($U54,AF!$B$39:$M$80,Z$9)*K54</f>
        <v>0</v>
      </c>
      <c r="AA54" s="67">
        <f>VLOOKUP($U54,AF!$B$39:$M$80,AA$9)*L54</f>
        <v>0</v>
      </c>
      <c r="AB54" s="67">
        <f>VLOOKUP($U54,AF!$B$39:$M$80,AB$9)*M54</f>
        <v>0</v>
      </c>
      <c r="AC54" s="67">
        <f>VLOOKUP($U54,AF!$B$39:$M$80,AC$9)*N54</f>
        <v>0</v>
      </c>
      <c r="AD54" s="67">
        <f t="shared" si="28"/>
        <v>0</v>
      </c>
      <c r="AF54" s="8">
        <f t="shared" si="29"/>
        <v>0</v>
      </c>
      <c r="AG54" s="8">
        <f t="shared" si="30"/>
        <v>0</v>
      </c>
      <c r="AH54" s="67">
        <f t="shared" si="31"/>
        <v>0</v>
      </c>
    </row>
    <row r="55" spans="1:34" x14ac:dyDescent="0.45">
      <c r="A55" s="118">
        <f t="shared" si="1"/>
        <v>47</v>
      </c>
      <c r="B55" s="14" t="s">
        <v>567</v>
      </c>
      <c r="C55" s="21" t="s">
        <v>568</v>
      </c>
      <c r="E55" s="8">
        <f>SUM(G55:O55)</f>
        <v>0</v>
      </c>
      <c r="F55" s="1">
        <v>100</v>
      </c>
      <c r="G55" s="70">
        <v>0</v>
      </c>
      <c r="H55" s="70">
        <v>0</v>
      </c>
      <c r="I55" s="70">
        <v>0</v>
      </c>
      <c r="J55" s="70">
        <v>0</v>
      </c>
      <c r="K55" s="70">
        <v>0</v>
      </c>
      <c r="L55" s="70">
        <v>0</v>
      </c>
      <c r="M55" s="70">
        <v>0</v>
      </c>
      <c r="N55" s="70">
        <v>0</v>
      </c>
      <c r="O55" s="70">
        <v>0</v>
      </c>
      <c r="Q55" s="8">
        <f t="shared" si="25"/>
        <v>0</v>
      </c>
      <c r="R55" s="8">
        <f t="shared" si="26"/>
        <v>0</v>
      </c>
      <c r="S55" s="17">
        <f t="shared" si="27"/>
        <v>0</v>
      </c>
      <c r="U55" s="118">
        <v>300</v>
      </c>
      <c r="V55" s="67">
        <f>VLOOKUP($U55,AF!$B$39:$M$80,V$9)*G55</f>
        <v>0</v>
      </c>
      <c r="W55" s="67">
        <f>VLOOKUP($U55,AF!$B$39:$M$80,W$9)*H55</f>
        <v>0</v>
      </c>
      <c r="X55" s="67">
        <f>VLOOKUP($U55,AF!$B$39:$M$80,X$9)*I55</f>
        <v>0</v>
      </c>
      <c r="Y55" s="67">
        <f>VLOOKUP($U55,AF!$B$39:$M$80,Y$9)*J55</f>
        <v>0</v>
      </c>
      <c r="Z55" s="67">
        <f>VLOOKUP($U55,AF!$B$39:$M$80,Z$9)*K55</f>
        <v>0</v>
      </c>
      <c r="AA55" s="67">
        <f>VLOOKUP($U55,AF!$B$39:$M$80,AA$9)*L55</f>
        <v>0</v>
      </c>
      <c r="AB55" s="67">
        <f>VLOOKUP($U55,AF!$B$39:$M$80,AB$9)*M55</f>
        <v>0</v>
      </c>
      <c r="AC55" s="67">
        <f>VLOOKUP($U55,AF!$B$39:$M$80,AC$9)*N55</f>
        <v>0</v>
      </c>
      <c r="AD55" s="67">
        <f t="shared" si="28"/>
        <v>0</v>
      </c>
      <c r="AF55" s="8">
        <f t="shared" si="29"/>
        <v>0</v>
      </c>
      <c r="AG55" s="8">
        <f t="shared" si="30"/>
        <v>0</v>
      </c>
      <c r="AH55" s="67">
        <f t="shared" si="31"/>
        <v>0</v>
      </c>
    </row>
    <row r="56" spans="1:34" x14ac:dyDescent="0.45">
      <c r="A56" s="118">
        <f t="shared" si="1"/>
        <v>48</v>
      </c>
      <c r="B56" s="14">
        <v>359</v>
      </c>
      <c r="C56" s="21" t="s">
        <v>32</v>
      </c>
      <c r="D56" s="21" t="s">
        <v>84</v>
      </c>
      <c r="E56" s="20">
        <f>3260-E57</f>
        <v>0</v>
      </c>
      <c r="F56" s="1">
        <v>108</v>
      </c>
      <c r="G56" s="1">
        <f>VLOOKUP($F56,AF!$B$39:$M$80,G$9)*$E56</f>
        <v>0</v>
      </c>
      <c r="H56" s="1">
        <f>VLOOKUP($F56,AF!$B$39:$M$80,H$9)*$E56</f>
        <v>0</v>
      </c>
      <c r="I56" s="1">
        <f>VLOOKUP($F56,AF!$B$39:$M$80,I$9)*$E56</f>
        <v>0</v>
      </c>
      <c r="J56" s="1">
        <f>VLOOKUP($F56,AF!$B$39:$M$80,J$9)*$E56</f>
        <v>0</v>
      </c>
      <c r="K56" s="1">
        <f>VLOOKUP($F56,AF!$B$39:$M$80,K$9)*$E56</f>
        <v>0</v>
      </c>
      <c r="L56" s="1">
        <f>VLOOKUP($F56,AF!$B$39:$M$80,L$9)*$E56</f>
        <v>0</v>
      </c>
      <c r="M56" s="1">
        <f>VLOOKUP($F56,AF!$B$39:$M$80,M$9)*$E56</f>
        <v>0</v>
      </c>
      <c r="N56" s="1">
        <f>VLOOKUP($F56,AF!$B$39:$M$80,N$9)*$E56</f>
        <v>0</v>
      </c>
      <c r="O56" s="1">
        <f>E56-SUM(G56:N56)</f>
        <v>0</v>
      </c>
      <c r="Q56" s="8">
        <f t="shared" si="25"/>
        <v>0</v>
      </c>
      <c r="R56" s="8">
        <f t="shared" si="26"/>
        <v>0</v>
      </c>
      <c r="S56" s="17">
        <f t="shared" si="27"/>
        <v>0</v>
      </c>
      <c r="U56" s="118">
        <v>300</v>
      </c>
      <c r="V56" s="67">
        <f>VLOOKUP($U56,AF!$B$39:$M$80,V$9)*G56</f>
        <v>0</v>
      </c>
      <c r="W56" s="67">
        <f>VLOOKUP($U56,AF!$B$39:$M$80,W$9)*H56</f>
        <v>0</v>
      </c>
      <c r="X56" s="67">
        <f>VLOOKUP($U56,AF!$B$39:$M$80,X$9)*I56</f>
        <v>0</v>
      </c>
      <c r="Y56" s="67">
        <f>VLOOKUP($U56,AF!$B$39:$M$80,Y$9)*J56</f>
        <v>0</v>
      </c>
      <c r="Z56" s="67">
        <f>VLOOKUP($U56,AF!$B$39:$M$80,Z$9)*K56</f>
        <v>0</v>
      </c>
      <c r="AA56" s="67">
        <f>VLOOKUP($U56,AF!$B$39:$M$80,AA$9)*L56</f>
        <v>0</v>
      </c>
      <c r="AB56" s="67">
        <f>VLOOKUP($U56,AF!$B$39:$M$80,AB$9)*M56</f>
        <v>0</v>
      </c>
      <c r="AC56" s="67">
        <f>VLOOKUP($U56,AF!$B$39:$M$80,AC$9)*N56</f>
        <v>0</v>
      </c>
      <c r="AD56" s="67">
        <f t="shared" si="28"/>
        <v>0</v>
      </c>
      <c r="AF56" s="8">
        <f t="shared" si="29"/>
        <v>0</v>
      </c>
      <c r="AG56" s="8">
        <f t="shared" si="30"/>
        <v>0</v>
      </c>
      <c r="AH56" s="67">
        <f t="shared" si="31"/>
        <v>0</v>
      </c>
    </row>
    <row r="57" spans="1:34" x14ac:dyDescent="0.45">
      <c r="A57" s="118">
        <f t="shared" si="1"/>
        <v>49</v>
      </c>
      <c r="B57" s="14" t="s">
        <v>569</v>
      </c>
      <c r="C57" s="21" t="s">
        <v>570</v>
      </c>
      <c r="E57" s="8">
        <f>SUM(G57:O57)</f>
        <v>3260</v>
      </c>
      <c r="F57" s="1">
        <v>100</v>
      </c>
      <c r="G57" s="70">
        <v>0</v>
      </c>
      <c r="H57" s="70">
        <v>0</v>
      </c>
      <c r="I57" s="70">
        <v>0</v>
      </c>
      <c r="J57" s="70">
        <v>0</v>
      </c>
      <c r="K57" s="70">
        <v>0</v>
      </c>
      <c r="L57" s="70">
        <v>0</v>
      </c>
      <c r="M57" s="70">
        <v>0</v>
      </c>
      <c r="N57" s="70">
        <v>0</v>
      </c>
      <c r="O57" s="70">
        <v>3260</v>
      </c>
      <c r="Q57" s="8">
        <f t="shared" si="25"/>
        <v>0</v>
      </c>
      <c r="R57" s="8">
        <f t="shared" si="26"/>
        <v>0</v>
      </c>
      <c r="S57" s="17">
        <f t="shared" si="27"/>
        <v>3260</v>
      </c>
      <c r="U57" s="118">
        <v>300</v>
      </c>
      <c r="V57" s="67">
        <f>VLOOKUP($U57,AF!$B$39:$M$80,V$9)*G57</f>
        <v>0</v>
      </c>
      <c r="W57" s="67">
        <f>VLOOKUP($U57,AF!$B$39:$M$80,W$9)*H57</f>
        <v>0</v>
      </c>
      <c r="X57" s="67">
        <f>VLOOKUP($U57,AF!$B$39:$M$80,X$9)*I57</f>
        <v>0</v>
      </c>
      <c r="Y57" s="67">
        <f>VLOOKUP($U57,AF!$B$39:$M$80,Y$9)*J57</f>
        <v>0</v>
      </c>
      <c r="Z57" s="67">
        <f>VLOOKUP($U57,AF!$B$39:$M$80,Z$9)*K57</f>
        <v>0</v>
      </c>
      <c r="AA57" s="67">
        <f>VLOOKUP($U57,AF!$B$39:$M$80,AA$9)*L57</f>
        <v>0</v>
      </c>
      <c r="AB57" s="67">
        <f>VLOOKUP($U57,AF!$B$39:$M$80,AB$9)*M57</f>
        <v>0</v>
      </c>
      <c r="AC57" s="67">
        <f>VLOOKUP($U57,AF!$B$39:$M$80,AC$9)*N57</f>
        <v>0</v>
      </c>
      <c r="AD57" s="67">
        <f t="shared" si="28"/>
        <v>3260</v>
      </c>
      <c r="AF57" s="8">
        <f t="shared" si="29"/>
        <v>0</v>
      </c>
      <c r="AG57" s="8">
        <f t="shared" si="30"/>
        <v>0</v>
      </c>
      <c r="AH57" s="67">
        <f t="shared" si="31"/>
        <v>3260</v>
      </c>
    </row>
    <row r="58" spans="1:34" x14ac:dyDescent="0.45">
      <c r="A58" s="118">
        <f t="shared" si="1"/>
        <v>50</v>
      </c>
      <c r="B58" s="14">
        <v>359.1</v>
      </c>
      <c r="C58" s="21" t="s">
        <v>456</v>
      </c>
      <c r="D58" s="21" t="s">
        <v>457</v>
      </c>
      <c r="E58" s="25">
        <f>0-E59</f>
        <v>0</v>
      </c>
      <c r="F58" s="1">
        <v>108</v>
      </c>
      <c r="G58" s="1">
        <f>VLOOKUP($F58,AF!$B$39:$M$80,G$9)*$E58</f>
        <v>0</v>
      </c>
      <c r="H58" s="1">
        <f>VLOOKUP($F58,AF!$B$39:$M$80,H$9)*$E58</f>
        <v>0</v>
      </c>
      <c r="I58" s="1">
        <f>VLOOKUP($F58,AF!$B$39:$M$80,I$9)*$E58</f>
        <v>0</v>
      </c>
      <c r="J58" s="1">
        <f>VLOOKUP($F58,AF!$B$39:$M$80,J$9)*$E58</f>
        <v>0</v>
      </c>
      <c r="K58" s="1">
        <f>VLOOKUP($F58,AF!$B$39:$M$80,K$9)*$E58</f>
        <v>0</v>
      </c>
      <c r="L58" s="1">
        <f>VLOOKUP($F58,AF!$B$39:$M$80,L$9)*$E58</f>
        <v>0</v>
      </c>
      <c r="M58" s="1">
        <f>VLOOKUP($F58,AF!$B$39:$M$80,M$9)*$E58</f>
        <v>0</v>
      </c>
      <c r="N58" s="1">
        <f>VLOOKUP($F58,AF!$B$39:$M$80,N$9)*$E58</f>
        <v>0</v>
      </c>
      <c r="O58" s="1">
        <f>E58-SUM(G58:N58)</f>
        <v>0</v>
      </c>
      <c r="Q58" s="8">
        <f t="shared" si="25"/>
        <v>0</v>
      </c>
      <c r="R58" s="8">
        <f t="shared" si="26"/>
        <v>0</v>
      </c>
      <c r="S58" s="17">
        <f t="shared" si="27"/>
        <v>0</v>
      </c>
      <c r="U58" s="118">
        <v>300</v>
      </c>
      <c r="V58" s="67">
        <f>VLOOKUP($U58,AF!$B$39:$M$80,V$9)*G58</f>
        <v>0</v>
      </c>
      <c r="W58" s="67">
        <f>VLOOKUP($U58,AF!$B$39:$M$80,W$9)*H58</f>
        <v>0</v>
      </c>
      <c r="X58" s="67">
        <f>VLOOKUP($U58,AF!$B$39:$M$80,X$9)*I58</f>
        <v>0</v>
      </c>
      <c r="Y58" s="67">
        <f>VLOOKUP($U58,AF!$B$39:$M$80,Y$9)*J58</f>
        <v>0</v>
      </c>
      <c r="Z58" s="67">
        <f>VLOOKUP($U58,AF!$B$39:$M$80,Z$9)*K58</f>
        <v>0</v>
      </c>
      <c r="AA58" s="67">
        <f>VLOOKUP($U58,AF!$B$39:$M$80,AA$9)*L58</f>
        <v>0</v>
      </c>
      <c r="AB58" s="67">
        <f>VLOOKUP($U58,AF!$B$39:$M$80,AB$9)*M58</f>
        <v>0</v>
      </c>
      <c r="AC58" s="67">
        <f>VLOOKUP($U58,AF!$B$39:$M$80,AC$9)*N58</f>
        <v>0</v>
      </c>
      <c r="AD58" s="67">
        <f t="shared" si="28"/>
        <v>0</v>
      </c>
      <c r="AF58" s="8">
        <f t="shared" si="29"/>
        <v>0</v>
      </c>
      <c r="AG58" s="8">
        <f t="shared" si="30"/>
        <v>0</v>
      </c>
      <c r="AH58" s="67">
        <f t="shared" si="31"/>
        <v>0</v>
      </c>
    </row>
    <row r="59" spans="1:34" x14ac:dyDescent="0.45">
      <c r="A59" s="118">
        <f t="shared" si="1"/>
        <v>51</v>
      </c>
      <c r="B59" s="14" t="s">
        <v>571</v>
      </c>
      <c r="C59" s="21" t="s">
        <v>572</v>
      </c>
      <c r="E59" s="8">
        <f>SUM(G59:O59)</f>
        <v>0</v>
      </c>
      <c r="F59" s="1">
        <v>100</v>
      </c>
      <c r="G59" s="70">
        <v>0</v>
      </c>
      <c r="H59" s="70">
        <v>0</v>
      </c>
      <c r="I59" s="70">
        <v>0</v>
      </c>
      <c r="J59" s="70">
        <v>0</v>
      </c>
      <c r="K59" s="70">
        <v>0</v>
      </c>
      <c r="L59" s="70">
        <v>0</v>
      </c>
      <c r="M59" s="70">
        <v>0</v>
      </c>
      <c r="N59" s="70">
        <v>0</v>
      </c>
      <c r="O59" s="70">
        <v>0</v>
      </c>
      <c r="Q59" s="8">
        <f t="shared" si="25"/>
        <v>0</v>
      </c>
      <c r="R59" s="8">
        <f t="shared" si="26"/>
        <v>0</v>
      </c>
      <c r="S59" s="17">
        <f t="shared" si="27"/>
        <v>0</v>
      </c>
      <c r="U59" s="118">
        <v>300</v>
      </c>
      <c r="V59" s="67">
        <f>VLOOKUP($U59,AF!$B$39:$M$80,V$9)*G59</f>
        <v>0</v>
      </c>
      <c r="W59" s="67">
        <f>VLOOKUP($U59,AF!$B$39:$M$80,W$9)*H59</f>
        <v>0</v>
      </c>
      <c r="X59" s="67">
        <f>VLOOKUP($U59,AF!$B$39:$M$80,X$9)*I59</f>
        <v>0</v>
      </c>
      <c r="Y59" s="67">
        <f>VLOOKUP($U59,AF!$B$39:$M$80,Y$9)*J59</f>
        <v>0</v>
      </c>
      <c r="Z59" s="67">
        <f>VLOOKUP($U59,AF!$B$39:$M$80,Z$9)*K59</f>
        <v>0</v>
      </c>
      <c r="AA59" s="67">
        <f>VLOOKUP($U59,AF!$B$39:$M$80,AA$9)*L59</f>
        <v>0</v>
      </c>
      <c r="AB59" s="67">
        <f>VLOOKUP($U59,AF!$B$39:$M$80,AB$9)*M59</f>
        <v>0</v>
      </c>
      <c r="AC59" s="67">
        <f>VLOOKUP($U59,AF!$B$39:$M$80,AC$9)*N59</f>
        <v>0</v>
      </c>
      <c r="AD59" s="67">
        <f t="shared" si="28"/>
        <v>0</v>
      </c>
      <c r="AF59" s="8">
        <f t="shared" si="29"/>
        <v>0</v>
      </c>
      <c r="AG59" s="8">
        <f t="shared" si="30"/>
        <v>0</v>
      </c>
      <c r="AH59" s="67">
        <f t="shared" si="31"/>
        <v>0</v>
      </c>
    </row>
    <row r="60" spans="1:34" x14ac:dyDescent="0.45">
      <c r="A60" s="118">
        <f t="shared" si="1"/>
        <v>52</v>
      </c>
      <c r="C60" s="21" t="s">
        <v>0</v>
      </c>
      <c r="E60" s="32">
        <f>SUM(E38:E59)</f>
        <v>58828957</v>
      </c>
      <c r="F60" s="1"/>
      <c r="G60" s="32">
        <f t="shared" ref="G60:O60" si="32">SUM(G38:G59)</f>
        <v>4097159.3008595989</v>
      </c>
      <c r="H60" s="32">
        <f t="shared" si="32"/>
        <v>1186109.5042979943</v>
      </c>
      <c r="I60" s="32">
        <f t="shared" si="32"/>
        <v>14573795.504297994</v>
      </c>
      <c r="J60" s="32">
        <f t="shared" si="32"/>
        <v>0</v>
      </c>
      <c r="K60" s="32">
        <f t="shared" si="32"/>
        <v>12015223.114613181</v>
      </c>
      <c r="L60" s="32">
        <f t="shared" si="32"/>
        <v>0</v>
      </c>
      <c r="M60" s="32">
        <f t="shared" si="32"/>
        <v>0</v>
      </c>
      <c r="N60" s="32">
        <f t="shared" si="32"/>
        <v>0</v>
      </c>
      <c r="O60" s="32">
        <f t="shared" si="32"/>
        <v>26956669.575931232</v>
      </c>
      <c r="Q60" s="61">
        <f>SUM(Q38:Q59)</f>
        <v>30686177.919770774</v>
      </c>
      <c r="R60" s="61">
        <f>SUM(R38:R59)</f>
        <v>1186109.5042979943</v>
      </c>
      <c r="S60" s="32">
        <f>SUM(S38:S59)</f>
        <v>58828957</v>
      </c>
      <c r="U60" s="118"/>
      <c r="V60" s="32">
        <f t="shared" ref="V60:AD60" si="33">SUM(V38:V59)</f>
        <v>4097159.3008595989</v>
      </c>
      <c r="W60" s="32">
        <f t="shared" si="33"/>
        <v>1186109.5042979943</v>
      </c>
      <c r="X60" s="32">
        <f t="shared" si="33"/>
        <v>14573795.504297994</v>
      </c>
      <c r="Y60" s="32">
        <f t="shared" si="33"/>
        <v>0</v>
      </c>
      <c r="Z60" s="32">
        <f t="shared" si="33"/>
        <v>12015223.114613181</v>
      </c>
      <c r="AA60" s="32">
        <f t="shared" si="33"/>
        <v>0</v>
      </c>
      <c r="AB60" s="32">
        <f t="shared" si="33"/>
        <v>0</v>
      </c>
      <c r="AC60" s="32">
        <f t="shared" si="33"/>
        <v>0</v>
      </c>
      <c r="AD60" s="32">
        <f t="shared" si="33"/>
        <v>26956669.575931232</v>
      </c>
      <c r="AF60" s="61">
        <f>SUM(AF38:AF59)</f>
        <v>30686177.919770774</v>
      </c>
      <c r="AG60" s="61">
        <f>SUM(AG38:AG59)</f>
        <v>1186109.5042979943</v>
      </c>
      <c r="AH60" s="32">
        <f t="shared" ref="AH60" si="34">SUM(AH38:AH59)</f>
        <v>58828957</v>
      </c>
    </row>
    <row r="61" spans="1:34" x14ac:dyDescent="0.45">
      <c r="A61" s="118">
        <f t="shared" si="1"/>
        <v>53</v>
      </c>
      <c r="G61" s="118"/>
      <c r="I61" s="118"/>
      <c r="K61" s="118"/>
      <c r="M61" s="118"/>
      <c r="O61" s="118"/>
      <c r="Q61" s="74"/>
      <c r="R61" s="73"/>
      <c r="U61" s="118"/>
      <c r="AF61" s="74"/>
      <c r="AG61" s="73"/>
    </row>
    <row r="62" spans="1:34" x14ac:dyDescent="0.45">
      <c r="A62" s="118">
        <f t="shared" si="1"/>
        <v>54</v>
      </c>
      <c r="B62" s="66" t="s">
        <v>415</v>
      </c>
      <c r="C62" s="66"/>
      <c r="E62" s="30"/>
      <c r="F62" s="19"/>
      <c r="G62" s="30"/>
      <c r="H62" s="30"/>
      <c r="I62" s="30"/>
      <c r="J62" s="30"/>
      <c r="K62" s="30"/>
      <c r="L62" s="30"/>
      <c r="M62" s="30"/>
      <c r="N62" s="30"/>
      <c r="O62" s="30"/>
      <c r="Q62" s="29"/>
      <c r="R62" s="29"/>
      <c r="S62" s="30"/>
      <c r="U62" s="118"/>
      <c r="V62" s="67"/>
      <c r="W62" s="67"/>
      <c r="X62" s="67"/>
      <c r="Y62" s="67"/>
      <c r="Z62" s="67"/>
      <c r="AA62" s="67"/>
      <c r="AB62" s="67"/>
      <c r="AC62" s="67"/>
      <c r="AD62" s="67"/>
      <c r="AF62" s="29"/>
      <c r="AG62" s="29"/>
      <c r="AH62" s="67"/>
    </row>
    <row r="63" spans="1:34" x14ac:dyDescent="0.45">
      <c r="A63" s="118">
        <f t="shared" si="1"/>
        <v>55</v>
      </c>
      <c r="B63" s="14">
        <v>360</v>
      </c>
      <c r="C63" s="21" t="s">
        <v>28</v>
      </c>
      <c r="D63" s="21" t="s">
        <v>459</v>
      </c>
      <c r="E63" s="25">
        <f>473378-E64</f>
        <v>0</v>
      </c>
      <c r="F63" s="1"/>
      <c r="G63" s="70"/>
      <c r="H63" s="70"/>
      <c r="I63" s="70"/>
      <c r="J63" s="70"/>
      <c r="K63" s="70"/>
      <c r="L63" s="70"/>
      <c r="M63" s="70"/>
      <c r="N63" s="70"/>
      <c r="O63" s="70"/>
      <c r="Q63" s="8">
        <f t="shared" ref="Q63:Q86" si="35">+M63+K63+I63+G63</f>
        <v>0</v>
      </c>
      <c r="R63" s="8">
        <f t="shared" ref="R63:R86" si="36">+N63+L63+J63+H63</f>
        <v>0</v>
      </c>
      <c r="S63" s="17">
        <f t="shared" ref="S63:S86" si="37">Q63+R63+O63</f>
        <v>0</v>
      </c>
      <c r="U63" s="118">
        <v>301</v>
      </c>
      <c r="V63" s="67">
        <f>VLOOKUP($U63,AF!$B$39:$M$80,V$9)*G63</f>
        <v>0</v>
      </c>
      <c r="W63" s="67">
        <f>VLOOKUP($U63,AF!$B$39:$M$80,W$9)*H63</f>
        <v>0</v>
      </c>
      <c r="X63" s="67">
        <f>VLOOKUP($U63,AF!$B$39:$M$80,X$9)*I63</f>
        <v>0</v>
      </c>
      <c r="Y63" s="67">
        <f>VLOOKUP($U63,AF!$B$39:$M$80,Y$9)*J63</f>
        <v>0</v>
      </c>
      <c r="Z63" s="67">
        <f>VLOOKUP($U63,AF!$B$39:$M$80,Z$9)*K63</f>
        <v>0</v>
      </c>
      <c r="AA63" s="67">
        <f>VLOOKUP($U63,AF!$B$39:$M$80,AA$9)*L63</f>
        <v>0</v>
      </c>
      <c r="AB63" s="67">
        <f>VLOOKUP($U63,AF!$B$39:$M$80,AB$9)*M63</f>
        <v>0</v>
      </c>
      <c r="AC63" s="67">
        <f>VLOOKUP($U63,AF!$B$39:$M$80,AC$9)*N63</f>
        <v>0</v>
      </c>
      <c r="AD63" s="67">
        <f t="shared" ref="AD63:AD86" si="38">E63-SUM(V63:AC63)</f>
        <v>0</v>
      </c>
      <c r="AF63" s="8">
        <f t="shared" ref="AF63:AF86" si="39">+AB63+Z63+X63+V63</f>
        <v>0</v>
      </c>
      <c r="AG63" s="8">
        <f t="shared" ref="AG63:AG86" si="40">+AC63+AA63+Y63+W63</f>
        <v>0</v>
      </c>
      <c r="AH63" s="67">
        <f t="shared" ref="AH63:AH86" si="41">+AF63+AG63+AD63</f>
        <v>0</v>
      </c>
    </row>
    <row r="64" spans="1:34" x14ac:dyDescent="0.45">
      <c r="A64" s="118">
        <f t="shared" si="1"/>
        <v>56</v>
      </c>
      <c r="B64" s="14" t="s">
        <v>651</v>
      </c>
      <c r="C64" s="21" t="s">
        <v>553</v>
      </c>
      <c r="E64" s="8">
        <f>SUM(G64:O64)</f>
        <v>473378</v>
      </c>
      <c r="F64" s="1">
        <v>100</v>
      </c>
      <c r="G64" s="70">
        <v>9730</v>
      </c>
      <c r="H64" s="70">
        <v>16500</v>
      </c>
      <c r="I64" s="70">
        <v>0</v>
      </c>
      <c r="J64" s="70">
        <v>0</v>
      </c>
      <c r="K64" s="70">
        <v>82709</v>
      </c>
      <c r="L64" s="70">
        <v>0</v>
      </c>
      <c r="M64" s="70">
        <v>0</v>
      </c>
      <c r="N64" s="70">
        <v>0</v>
      </c>
      <c r="O64" s="70">
        <v>364439</v>
      </c>
      <c r="Q64" s="8">
        <f t="shared" si="35"/>
        <v>92439</v>
      </c>
      <c r="R64" s="8">
        <f t="shared" si="36"/>
        <v>16500</v>
      </c>
      <c r="S64" s="17">
        <f t="shared" si="37"/>
        <v>473378</v>
      </c>
      <c r="U64" s="118">
        <v>301</v>
      </c>
      <c r="V64" s="67">
        <f>VLOOKUP($U64,AF!$B$39:$M$80,V$9)*G64</f>
        <v>880.56499999999994</v>
      </c>
      <c r="W64" s="67">
        <f>VLOOKUP($U64,AF!$B$39:$M$80,W$9)*H64</f>
        <v>1493.25</v>
      </c>
      <c r="X64" s="67">
        <f>VLOOKUP($U64,AF!$B$39:$M$80,X$9)*I64</f>
        <v>0</v>
      </c>
      <c r="Y64" s="67">
        <f>VLOOKUP($U64,AF!$B$39:$M$80,Y$9)*J64</f>
        <v>0</v>
      </c>
      <c r="Z64" s="67">
        <f>VLOOKUP($U64,AF!$B$39:$M$80,Z$9)*K64</f>
        <v>7485.1644999999999</v>
      </c>
      <c r="AA64" s="67">
        <f>VLOOKUP($U64,AF!$B$39:$M$80,AA$9)*L64</f>
        <v>0</v>
      </c>
      <c r="AB64" s="67">
        <f>VLOOKUP($U64,AF!$B$39:$M$80,AB$9)*M64</f>
        <v>0</v>
      </c>
      <c r="AC64" s="67">
        <f>VLOOKUP($U64,AF!$B$39:$M$80,AC$9)*N64</f>
        <v>0</v>
      </c>
      <c r="AD64" s="67">
        <f t="shared" si="38"/>
        <v>463519.02049999998</v>
      </c>
      <c r="AF64" s="8">
        <f t="shared" si="39"/>
        <v>8365.7294999999995</v>
      </c>
      <c r="AG64" s="8">
        <f t="shared" si="40"/>
        <v>1493.25</v>
      </c>
      <c r="AH64" s="67">
        <f t="shared" si="41"/>
        <v>473378</v>
      </c>
    </row>
    <row r="65" spans="1:34" x14ac:dyDescent="0.45">
      <c r="A65" s="118">
        <f t="shared" si="1"/>
        <v>57</v>
      </c>
      <c r="B65" s="14">
        <v>361</v>
      </c>
      <c r="C65" s="21" t="s">
        <v>29</v>
      </c>
      <c r="D65" s="21" t="s">
        <v>460</v>
      </c>
      <c r="E65" s="25">
        <f>286-E66</f>
        <v>0</v>
      </c>
      <c r="F65" s="1">
        <v>101</v>
      </c>
      <c r="G65" s="1">
        <f>VLOOKUP($F65,AF!$B$39:$M$80,G$9)*$E65</f>
        <v>0</v>
      </c>
      <c r="H65" s="1">
        <f>VLOOKUP($F65,AF!$B$39:$M$80,H$9)*$E65</f>
        <v>0</v>
      </c>
      <c r="I65" s="1">
        <f>VLOOKUP($F65,AF!$B$39:$M$80,I$9)*$E65</f>
        <v>0</v>
      </c>
      <c r="J65" s="1">
        <f>VLOOKUP($F65,AF!$B$39:$M$80,J$9)*$E65</f>
        <v>0</v>
      </c>
      <c r="K65" s="1">
        <f>VLOOKUP($F65,AF!$B$39:$M$80,K$9)*$E65</f>
        <v>0</v>
      </c>
      <c r="L65" s="1">
        <f>VLOOKUP($F65,AF!$B$39:$M$80,L$9)*$E65</f>
        <v>0</v>
      </c>
      <c r="M65" s="1">
        <f>VLOOKUP($F65,AF!$B$39:$M$80,M$9)*$E65</f>
        <v>0</v>
      </c>
      <c r="N65" s="1">
        <f>VLOOKUP($F65,AF!$B$39:$M$80,N$9)*$E65</f>
        <v>0</v>
      </c>
      <c r="O65" s="1">
        <f>E65-SUM(G65:N65)</f>
        <v>0</v>
      </c>
      <c r="Q65" s="8">
        <f t="shared" si="35"/>
        <v>0</v>
      </c>
      <c r="R65" s="8">
        <f t="shared" si="36"/>
        <v>0</v>
      </c>
      <c r="S65" s="17">
        <f t="shared" si="37"/>
        <v>0</v>
      </c>
      <c r="U65" s="118">
        <v>301</v>
      </c>
      <c r="V65" s="67">
        <f>VLOOKUP($U65,AF!$B$39:$M$80,V$9)*G65</f>
        <v>0</v>
      </c>
      <c r="W65" s="67">
        <f>VLOOKUP($U65,AF!$B$39:$M$80,W$9)*H65</f>
        <v>0</v>
      </c>
      <c r="X65" s="67">
        <f>VLOOKUP($U65,AF!$B$39:$M$80,X$9)*I65</f>
        <v>0</v>
      </c>
      <c r="Y65" s="67">
        <f>VLOOKUP($U65,AF!$B$39:$M$80,Y$9)*J65</f>
        <v>0</v>
      </c>
      <c r="Z65" s="67">
        <f>VLOOKUP($U65,AF!$B$39:$M$80,Z$9)*K65</f>
        <v>0</v>
      </c>
      <c r="AA65" s="67">
        <f>VLOOKUP($U65,AF!$B$39:$M$80,AA$9)*L65</f>
        <v>0</v>
      </c>
      <c r="AB65" s="67">
        <f>VLOOKUP($U65,AF!$B$39:$M$80,AB$9)*M65</f>
        <v>0</v>
      </c>
      <c r="AC65" s="67">
        <f>VLOOKUP($U65,AF!$B$39:$M$80,AC$9)*N65</f>
        <v>0</v>
      </c>
      <c r="AD65" s="67">
        <f t="shared" si="38"/>
        <v>0</v>
      </c>
      <c r="AF65" s="8">
        <f t="shared" si="39"/>
        <v>0</v>
      </c>
      <c r="AG65" s="8">
        <f t="shared" si="40"/>
        <v>0</v>
      </c>
      <c r="AH65" s="67">
        <f t="shared" si="41"/>
        <v>0</v>
      </c>
    </row>
    <row r="66" spans="1:34" x14ac:dyDescent="0.45">
      <c r="A66" s="118">
        <f t="shared" si="1"/>
        <v>58</v>
      </c>
      <c r="B66" s="14" t="s">
        <v>652</v>
      </c>
      <c r="C66" s="21" t="s">
        <v>555</v>
      </c>
      <c r="E66" s="8">
        <f>SUM(G66:O66)</f>
        <v>286</v>
      </c>
      <c r="F66" s="1">
        <v>100</v>
      </c>
      <c r="G66" s="70">
        <v>0</v>
      </c>
      <c r="H66" s="70">
        <v>0</v>
      </c>
      <c r="I66" s="70">
        <v>0</v>
      </c>
      <c r="J66" s="70">
        <v>0</v>
      </c>
      <c r="K66" s="70">
        <v>0</v>
      </c>
      <c r="L66" s="70">
        <v>0</v>
      </c>
      <c r="M66" s="70">
        <v>0</v>
      </c>
      <c r="N66" s="70">
        <v>0</v>
      </c>
      <c r="O66" s="70">
        <v>286</v>
      </c>
      <c r="Q66" s="8">
        <f t="shared" si="35"/>
        <v>0</v>
      </c>
      <c r="R66" s="8">
        <f t="shared" si="36"/>
        <v>0</v>
      </c>
      <c r="S66" s="17">
        <f t="shared" si="37"/>
        <v>286</v>
      </c>
      <c r="U66" s="118">
        <v>301</v>
      </c>
      <c r="V66" s="67">
        <f>VLOOKUP($U66,AF!$B$39:$M$80,V$9)*G66</f>
        <v>0</v>
      </c>
      <c r="W66" s="67">
        <f>VLOOKUP($U66,AF!$B$39:$M$80,W$9)*H66</f>
        <v>0</v>
      </c>
      <c r="X66" s="67">
        <f>VLOOKUP($U66,AF!$B$39:$M$80,X$9)*I66</f>
        <v>0</v>
      </c>
      <c r="Y66" s="67">
        <f>VLOOKUP($U66,AF!$B$39:$M$80,Y$9)*J66</f>
        <v>0</v>
      </c>
      <c r="Z66" s="67">
        <f>VLOOKUP($U66,AF!$B$39:$M$80,Z$9)*K66</f>
        <v>0</v>
      </c>
      <c r="AA66" s="67">
        <f>VLOOKUP($U66,AF!$B$39:$M$80,AA$9)*L66</f>
        <v>0</v>
      </c>
      <c r="AB66" s="67">
        <f>VLOOKUP($U66,AF!$B$39:$M$80,AB$9)*M66</f>
        <v>0</v>
      </c>
      <c r="AC66" s="67">
        <f>VLOOKUP($U66,AF!$B$39:$M$80,AC$9)*N66</f>
        <v>0</v>
      </c>
      <c r="AD66" s="67">
        <f t="shared" si="38"/>
        <v>286</v>
      </c>
      <c r="AF66" s="8">
        <f t="shared" si="39"/>
        <v>0</v>
      </c>
      <c r="AG66" s="8">
        <f t="shared" si="40"/>
        <v>0</v>
      </c>
      <c r="AH66" s="67">
        <f t="shared" si="41"/>
        <v>286</v>
      </c>
    </row>
    <row r="67" spans="1:34" x14ac:dyDescent="0.45">
      <c r="A67" s="118">
        <f t="shared" si="1"/>
        <v>59</v>
      </c>
      <c r="B67" s="14">
        <v>362</v>
      </c>
      <c r="C67" s="21" t="s">
        <v>30</v>
      </c>
      <c r="D67" s="21" t="s">
        <v>461</v>
      </c>
      <c r="E67" s="25">
        <f>83277532-E68</f>
        <v>0</v>
      </c>
      <c r="F67" s="1">
        <v>101</v>
      </c>
      <c r="G67" s="1">
        <f>VLOOKUP($F67,AF!$B$39:$M$80,G$9)*$E67</f>
        <v>0</v>
      </c>
      <c r="H67" s="1">
        <f>VLOOKUP($F67,AF!$B$39:$M$80,H$9)*$E67</f>
        <v>0</v>
      </c>
      <c r="I67" s="1">
        <f>VLOOKUP($F67,AF!$B$39:$M$80,I$9)*$E67</f>
        <v>0</v>
      </c>
      <c r="J67" s="1">
        <f>VLOOKUP($F67,AF!$B$39:$M$80,J$9)*$E67</f>
        <v>0</v>
      </c>
      <c r="K67" s="1">
        <f>VLOOKUP($F67,AF!$B$39:$M$80,K$9)*$E67</f>
        <v>0</v>
      </c>
      <c r="L67" s="1">
        <f>VLOOKUP($F67,AF!$B$39:$M$80,L$9)*$E67</f>
        <v>0</v>
      </c>
      <c r="M67" s="1">
        <f>VLOOKUP($F67,AF!$B$39:$M$80,M$9)*$E67</f>
        <v>0</v>
      </c>
      <c r="N67" s="1">
        <f>VLOOKUP($F67,AF!$B$39:$M$80,N$9)*$E67</f>
        <v>0</v>
      </c>
      <c r="O67" s="1">
        <f>E67-SUM(G67:N67)</f>
        <v>0</v>
      </c>
      <c r="Q67" s="8">
        <f t="shared" si="35"/>
        <v>0</v>
      </c>
      <c r="R67" s="8">
        <f t="shared" si="36"/>
        <v>0</v>
      </c>
      <c r="S67" s="17">
        <f t="shared" si="37"/>
        <v>0</v>
      </c>
      <c r="U67" s="118">
        <v>301</v>
      </c>
      <c r="V67" s="67">
        <f>VLOOKUP($U67,AF!$B$39:$M$80,V$9)*G67</f>
        <v>0</v>
      </c>
      <c r="W67" s="67">
        <f>VLOOKUP($U67,AF!$B$39:$M$80,W$9)*H67</f>
        <v>0</v>
      </c>
      <c r="X67" s="67">
        <f>VLOOKUP($U67,AF!$B$39:$M$80,X$9)*I67</f>
        <v>0</v>
      </c>
      <c r="Y67" s="67">
        <f>VLOOKUP($U67,AF!$B$39:$M$80,Y$9)*J67</f>
        <v>0</v>
      </c>
      <c r="Z67" s="67">
        <f>VLOOKUP($U67,AF!$B$39:$M$80,Z$9)*K67</f>
        <v>0</v>
      </c>
      <c r="AA67" s="67">
        <f>VLOOKUP($U67,AF!$B$39:$M$80,AA$9)*L67</f>
        <v>0</v>
      </c>
      <c r="AB67" s="67">
        <f>VLOOKUP($U67,AF!$B$39:$M$80,AB$9)*M67</f>
        <v>0</v>
      </c>
      <c r="AC67" s="67">
        <f>VLOOKUP($U67,AF!$B$39:$M$80,AC$9)*N67</f>
        <v>0</v>
      </c>
      <c r="AD67" s="67">
        <f t="shared" si="38"/>
        <v>0</v>
      </c>
      <c r="AF67" s="8">
        <f t="shared" si="39"/>
        <v>0</v>
      </c>
      <c r="AG67" s="8">
        <f t="shared" si="40"/>
        <v>0</v>
      </c>
      <c r="AH67" s="67">
        <f t="shared" si="41"/>
        <v>0</v>
      </c>
    </row>
    <row r="68" spans="1:34" x14ac:dyDescent="0.45">
      <c r="A68" s="118">
        <f t="shared" si="1"/>
        <v>60</v>
      </c>
      <c r="B68" s="14" t="s">
        <v>653</v>
      </c>
      <c r="C68" s="21" t="s">
        <v>557</v>
      </c>
      <c r="E68" s="8">
        <f>SUM(G68:O68)</f>
        <v>83277532</v>
      </c>
      <c r="F68" s="1">
        <v>100</v>
      </c>
      <c r="G68" s="70">
        <v>1244635</v>
      </c>
      <c r="H68" s="70">
        <v>4137574</v>
      </c>
      <c r="I68" s="70">
        <v>10715087</v>
      </c>
      <c r="J68" s="70">
        <v>0</v>
      </c>
      <c r="K68" s="70">
        <v>36992870</v>
      </c>
      <c r="L68" s="70">
        <v>0</v>
      </c>
      <c r="M68" s="70">
        <v>0</v>
      </c>
      <c r="N68" s="70">
        <v>0</v>
      </c>
      <c r="O68" s="70">
        <v>30187366</v>
      </c>
      <c r="Q68" s="8">
        <f t="shared" si="35"/>
        <v>48952592</v>
      </c>
      <c r="R68" s="8">
        <f t="shared" si="36"/>
        <v>4137574</v>
      </c>
      <c r="S68" s="17">
        <f t="shared" si="37"/>
        <v>83277532</v>
      </c>
      <c r="U68" s="118">
        <v>301</v>
      </c>
      <c r="V68" s="67">
        <f>VLOOKUP($U68,AF!$B$39:$M$80,V$9)*G68</f>
        <v>112639.4675</v>
      </c>
      <c r="W68" s="67">
        <f>VLOOKUP($U68,AF!$B$39:$M$80,W$9)*H68</f>
        <v>374450.44699999999</v>
      </c>
      <c r="X68" s="67">
        <f>VLOOKUP($U68,AF!$B$39:$M$80,X$9)*I68</f>
        <v>969715.37349999999</v>
      </c>
      <c r="Y68" s="67">
        <f>VLOOKUP($U68,AF!$B$39:$M$80,Y$9)*J68</f>
        <v>0</v>
      </c>
      <c r="Z68" s="67">
        <f>VLOOKUP($U68,AF!$B$39:$M$80,Z$9)*K68</f>
        <v>3347854.7349999999</v>
      </c>
      <c r="AA68" s="67">
        <f>VLOOKUP($U68,AF!$B$39:$M$80,AA$9)*L68</f>
        <v>0</v>
      </c>
      <c r="AB68" s="67">
        <f>VLOOKUP($U68,AF!$B$39:$M$80,AB$9)*M68</f>
        <v>0</v>
      </c>
      <c r="AC68" s="67">
        <f>VLOOKUP($U68,AF!$B$39:$M$80,AC$9)*N68</f>
        <v>0</v>
      </c>
      <c r="AD68" s="67">
        <f t="shared" si="38"/>
        <v>78472871.976999998</v>
      </c>
      <c r="AF68" s="8">
        <f t="shared" si="39"/>
        <v>4430209.5760000004</v>
      </c>
      <c r="AG68" s="8">
        <f t="shared" si="40"/>
        <v>374450.44699999999</v>
      </c>
      <c r="AH68" s="67">
        <f t="shared" si="41"/>
        <v>83277532</v>
      </c>
    </row>
    <row r="69" spans="1:34" x14ac:dyDescent="0.45">
      <c r="A69" s="118">
        <f t="shared" si="1"/>
        <v>61</v>
      </c>
      <c r="B69" s="14">
        <v>363</v>
      </c>
      <c r="C69" s="21" t="s">
        <v>462</v>
      </c>
      <c r="D69" s="21" t="s">
        <v>463</v>
      </c>
      <c r="E69" s="25">
        <f>0-E70</f>
        <v>0</v>
      </c>
      <c r="F69" s="1">
        <v>101</v>
      </c>
      <c r="G69" s="1">
        <f>VLOOKUP($F69,AF!$B$39:$M$80,G$9)*$E69</f>
        <v>0</v>
      </c>
      <c r="H69" s="1">
        <f>VLOOKUP($F69,AF!$B$39:$M$80,H$9)*$E69</f>
        <v>0</v>
      </c>
      <c r="I69" s="1">
        <f>VLOOKUP($F69,AF!$B$39:$M$80,I$9)*$E69</f>
        <v>0</v>
      </c>
      <c r="J69" s="1">
        <f>VLOOKUP($F69,AF!$B$39:$M$80,J$9)*$E69</f>
        <v>0</v>
      </c>
      <c r="K69" s="1">
        <f>VLOOKUP($F69,AF!$B$39:$M$80,K$9)*$E69</f>
        <v>0</v>
      </c>
      <c r="L69" s="1">
        <f>VLOOKUP($F69,AF!$B$39:$M$80,L$9)*$E69</f>
        <v>0</v>
      </c>
      <c r="M69" s="1">
        <f>VLOOKUP($F69,AF!$B$39:$M$80,M$9)*$E69</f>
        <v>0</v>
      </c>
      <c r="N69" s="1">
        <f>VLOOKUP($F69,AF!$B$39:$M$80,N$9)*$E69</f>
        <v>0</v>
      </c>
      <c r="O69" s="1">
        <f>E69-SUM(G69:N69)</f>
        <v>0</v>
      </c>
      <c r="Q69" s="8">
        <f t="shared" si="35"/>
        <v>0</v>
      </c>
      <c r="R69" s="8">
        <f t="shared" si="36"/>
        <v>0</v>
      </c>
      <c r="S69" s="17">
        <f t="shared" si="37"/>
        <v>0</v>
      </c>
      <c r="U69" s="118">
        <v>302</v>
      </c>
      <c r="V69" s="67">
        <f>VLOOKUP($U69,AF!$B$39:$M$80,V$9)*G69</f>
        <v>0</v>
      </c>
      <c r="W69" s="67">
        <f>VLOOKUP($U69,AF!$B$39:$M$80,W$9)*H69</f>
        <v>0</v>
      </c>
      <c r="X69" s="67">
        <f>VLOOKUP($U69,AF!$B$39:$M$80,X$9)*I69</f>
        <v>0</v>
      </c>
      <c r="Y69" s="67">
        <f>VLOOKUP($U69,AF!$B$39:$M$80,Y$9)*J69</f>
        <v>0</v>
      </c>
      <c r="Z69" s="67">
        <f>VLOOKUP($U69,AF!$B$39:$M$80,Z$9)*K69</f>
        <v>0</v>
      </c>
      <c r="AA69" s="67">
        <f>VLOOKUP($U69,AF!$B$39:$M$80,AA$9)*L69</f>
        <v>0</v>
      </c>
      <c r="AB69" s="67">
        <f>VLOOKUP($U69,AF!$B$39:$M$80,AB$9)*M69</f>
        <v>0</v>
      </c>
      <c r="AC69" s="67">
        <f>VLOOKUP($U69,AF!$B$39:$M$80,AC$9)*N69</f>
        <v>0</v>
      </c>
      <c r="AD69" s="67">
        <f t="shared" si="38"/>
        <v>0</v>
      </c>
      <c r="AF69" s="8">
        <f t="shared" si="39"/>
        <v>0</v>
      </c>
      <c r="AG69" s="8">
        <f t="shared" si="40"/>
        <v>0</v>
      </c>
      <c r="AH69" s="67">
        <f t="shared" si="41"/>
        <v>0</v>
      </c>
    </row>
    <row r="70" spans="1:34" x14ac:dyDescent="0.45">
      <c r="A70" s="118">
        <f t="shared" si="1"/>
        <v>62</v>
      </c>
      <c r="B70" s="14" t="s">
        <v>654</v>
      </c>
      <c r="C70" s="21" t="s">
        <v>655</v>
      </c>
      <c r="E70" s="8">
        <f>SUM(G70:O70)</f>
        <v>0</v>
      </c>
      <c r="F70" s="1">
        <v>100</v>
      </c>
      <c r="G70" s="70">
        <v>0</v>
      </c>
      <c r="H70" s="70">
        <v>0</v>
      </c>
      <c r="I70" s="70">
        <v>0</v>
      </c>
      <c r="J70" s="70">
        <v>0</v>
      </c>
      <c r="K70" s="70">
        <v>0</v>
      </c>
      <c r="L70" s="70">
        <v>0</v>
      </c>
      <c r="M70" s="70">
        <v>0</v>
      </c>
      <c r="N70" s="70">
        <v>0</v>
      </c>
      <c r="O70" s="70">
        <v>0</v>
      </c>
      <c r="Q70" s="8">
        <f t="shared" si="35"/>
        <v>0</v>
      </c>
      <c r="R70" s="8">
        <f t="shared" si="36"/>
        <v>0</v>
      </c>
      <c r="S70" s="17">
        <f t="shared" si="37"/>
        <v>0</v>
      </c>
      <c r="U70" s="118">
        <v>302</v>
      </c>
      <c r="V70" s="67">
        <f>VLOOKUP($U70,AF!$B$39:$M$80,V$9)*G70</f>
        <v>0</v>
      </c>
      <c r="W70" s="67">
        <f>VLOOKUP($U70,AF!$B$39:$M$80,W$9)*H70</f>
        <v>0</v>
      </c>
      <c r="X70" s="67">
        <f>VLOOKUP($U70,AF!$B$39:$M$80,X$9)*I70</f>
        <v>0</v>
      </c>
      <c r="Y70" s="67">
        <f>VLOOKUP($U70,AF!$B$39:$M$80,Y$9)*J70</f>
        <v>0</v>
      </c>
      <c r="Z70" s="67">
        <f>VLOOKUP($U70,AF!$B$39:$M$80,Z$9)*K70</f>
        <v>0</v>
      </c>
      <c r="AA70" s="67">
        <f>VLOOKUP($U70,AF!$B$39:$M$80,AA$9)*L70</f>
        <v>0</v>
      </c>
      <c r="AB70" s="67">
        <f>VLOOKUP($U70,AF!$B$39:$M$80,AB$9)*M70</f>
        <v>0</v>
      </c>
      <c r="AC70" s="67">
        <f>VLOOKUP($U70,AF!$B$39:$M$80,AC$9)*N70</f>
        <v>0</v>
      </c>
      <c r="AD70" s="67">
        <f t="shared" si="38"/>
        <v>0</v>
      </c>
      <c r="AF70" s="8">
        <f t="shared" si="39"/>
        <v>0</v>
      </c>
      <c r="AG70" s="8">
        <f t="shared" si="40"/>
        <v>0</v>
      </c>
      <c r="AH70" s="67">
        <f t="shared" si="41"/>
        <v>0</v>
      </c>
    </row>
    <row r="71" spans="1:34" x14ac:dyDescent="0.45">
      <c r="A71" s="118">
        <f t="shared" si="1"/>
        <v>63</v>
      </c>
      <c r="B71" s="14">
        <v>364</v>
      </c>
      <c r="C71" s="21" t="s">
        <v>464</v>
      </c>
      <c r="D71" s="21" t="s">
        <v>465</v>
      </c>
      <c r="E71" s="25">
        <f>0-E72</f>
        <v>0</v>
      </c>
      <c r="F71" s="1">
        <v>101</v>
      </c>
      <c r="G71" s="1">
        <f>VLOOKUP($F71,AF!$B$39:$M$80,G$9)*$E71</f>
        <v>0</v>
      </c>
      <c r="H71" s="1">
        <f>VLOOKUP($F71,AF!$B$39:$M$80,H$9)*$E71</f>
        <v>0</v>
      </c>
      <c r="I71" s="1">
        <f>VLOOKUP($F71,AF!$B$39:$M$80,I$9)*$E71</f>
        <v>0</v>
      </c>
      <c r="J71" s="1">
        <f>VLOOKUP($F71,AF!$B$39:$M$80,J$9)*$E71</f>
        <v>0</v>
      </c>
      <c r="K71" s="1">
        <f>VLOOKUP($F71,AF!$B$39:$M$80,K$9)*$E71</f>
        <v>0</v>
      </c>
      <c r="L71" s="1">
        <f>VLOOKUP($F71,AF!$B$39:$M$80,L$9)*$E71</f>
        <v>0</v>
      </c>
      <c r="M71" s="1">
        <f>VLOOKUP($F71,AF!$B$39:$M$80,M$9)*$E71</f>
        <v>0</v>
      </c>
      <c r="N71" s="1">
        <f>VLOOKUP($F71,AF!$B$39:$M$80,N$9)*$E71</f>
        <v>0</v>
      </c>
      <c r="O71" s="1">
        <f>E71-SUM(G71:N71)</f>
        <v>0</v>
      </c>
      <c r="Q71" s="8">
        <f t="shared" si="35"/>
        <v>0</v>
      </c>
      <c r="R71" s="8">
        <f t="shared" si="36"/>
        <v>0</v>
      </c>
      <c r="S71" s="17">
        <f t="shared" si="37"/>
        <v>0</v>
      </c>
      <c r="U71" s="118">
        <v>302</v>
      </c>
      <c r="V71" s="67">
        <f>VLOOKUP($U71,AF!$B$39:$M$80,V$9)*G71</f>
        <v>0</v>
      </c>
      <c r="W71" s="67">
        <f>VLOOKUP($U71,AF!$B$39:$M$80,W$9)*H71</f>
        <v>0</v>
      </c>
      <c r="X71" s="67">
        <f>VLOOKUP($U71,AF!$B$39:$M$80,X$9)*I71</f>
        <v>0</v>
      </c>
      <c r="Y71" s="67">
        <f>VLOOKUP($U71,AF!$B$39:$M$80,Y$9)*J71</f>
        <v>0</v>
      </c>
      <c r="Z71" s="67">
        <f>VLOOKUP($U71,AF!$B$39:$M$80,Z$9)*K71</f>
        <v>0</v>
      </c>
      <c r="AA71" s="67">
        <f>VLOOKUP($U71,AF!$B$39:$M$80,AA$9)*L71</f>
        <v>0</v>
      </c>
      <c r="AB71" s="67">
        <f>VLOOKUP($U71,AF!$B$39:$M$80,AB$9)*M71</f>
        <v>0</v>
      </c>
      <c r="AC71" s="67">
        <f>VLOOKUP($U71,AF!$B$39:$M$80,AC$9)*N71</f>
        <v>0</v>
      </c>
      <c r="AD71" s="67">
        <f t="shared" si="38"/>
        <v>0</v>
      </c>
      <c r="AF71" s="8">
        <f t="shared" si="39"/>
        <v>0</v>
      </c>
      <c r="AG71" s="8">
        <f t="shared" si="40"/>
        <v>0</v>
      </c>
      <c r="AH71" s="67">
        <f t="shared" si="41"/>
        <v>0</v>
      </c>
    </row>
    <row r="72" spans="1:34" x14ac:dyDescent="0.45">
      <c r="A72" s="118">
        <f t="shared" si="1"/>
        <v>64</v>
      </c>
      <c r="B72" s="14" t="s">
        <v>656</v>
      </c>
      <c r="C72" s="21" t="s">
        <v>657</v>
      </c>
      <c r="E72" s="8">
        <f>SUM(G72:O72)</f>
        <v>0</v>
      </c>
      <c r="F72" s="1">
        <v>100</v>
      </c>
      <c r="G72" s="70"/>
      <c r="H72" s="70"/>
      <c r="I72" s="70">
        <v>0</v>
      </c>
      <c r="J72" s="70">
        <v>0</v>
      </c>
      <c r="K72" s="70">
        <v>0</v>
      </c>
      <c r="L72" s="70">
        <v>0</v>
      </c>
      <c r="M72" s="70">
        <v>0</v>
      </c>
      <c r="N72" s="70">
        <v>0</v>
      </c>
      <c r="O72" s="70">
        <v>0</v>
      </c>
      <c r="Q72" s="8">
        <f t="shared" si="35"/>
        <v>0</v>
      </c>
      <c r="R72" s="8">
        <f t="shared" si="36"/>
        <v>0</v>
      </c>
      <c r="S72" s="17">
        <f t="shared" si="37"/>
        <v>0</v>
      </c>
      <c r="U72" s="118">
        <v>302</v>
      </c>
      <c r="V72" s="67">
        <f>VLOOKUP($U72,AF!$B$39:$M$80,V$9)*G72</f>
        <v>0</v>
      </c>
      <c r="W72" s="67">
        <f>VLOOKUP($U72,AF!$B$39:$M$80,W$9)*H72</f>
        <v>0</v>
      </c>
      <c r="X72" s="67">
        <f>VLOOKUP($U72,AF!$B$39:$M$80,X$9)*I72</f>
        <v>0</v>
      </c>
      <c r="Y72" s="67">
        <f>VLOOKUP($U72,AF!$B$39:$M$80,Y$9)*J72</f>
        <v>0</v>
      </c>
      <c r="Z72" s="67">
        <f>VLOOKUP($U72,AF!$B$39:$M$80,Z$9)*K72</f>
        <v>0</v>
      </c>
      <c r="AA72" s="67">
        <f>VLOOKUP($U72,AF!$B$39:$M$80,AA$9)*L72</f>
        <v>0</v>
      </c>
      <c r="AB72" s="67">
        <f>VLOOKUP($U72,AF!$B$39:$M$80,AB$9)*M72</f>
        <v>0</v>
      </c>
      <c r="AC72" s="67">
        <f>VLOOKUP($U72,AF!$B$39:$M$80,AC$9)*N72</f>
        <v>0</v>
      </c>
      <c r="AD72" s="67">
        <f t="shared" si="38"/>
        <v>0</v>
      </c>
      <c r="AF72" s="8">
        <f t="shared" si="39"/>
        <v>0</v>
      </c>
      <c r="AG72" s="8">
        <f t="shared" si="40"/>
        <v>0</v>
      </c>
      <c r="AH72" s="67">
        <f t="shared" si="41"/>
        <v>0</v>
      </c>
    </row>
    <row r="73" spans="1:34" x14ac:dyDescent="0.45">
      <c r="A73" s="118">
        <f t="shared" si="1"/>
        <v>65</v>
      </c>
      <c r="B73" s="14">
        <v>365</v>
      </c>
      <c r="C73" s="21" t="s">
        <v>458</v>
      </c>
      <c r="D73" s="21" t="s">
        <v>466</v>
      </c>
      <c r="E73" s="25">
        <f>47989-E74</f>
        <v>0</v>
      </c>
      <c r="F73" s="1">
        <v>101</v>
      </c>
      <c r="G73" s="1">
        <f>VLOOKUP($F73,AF!$B$39:$M$80,G$9)*$E73</f>
        <v>0</v>
      </c>
      <c r="H73" s="1">
        <f>VLOOKUP($F73,AF!$B$39:$M$80,H$9)*$E73</f>
        <v>0</v>
      </c>
      <c r="I73" s="1">
        <f>VLOOKUP($F73,AF!$B$39:$M$80,I$9)*$E73</f>
        <v>0</v>
      </c>
      <c r="J73" s="1">
        <f>VLOOKUP($F73,AF!$B$39:$M$80,J$9)*$E73</f>
        <v>0</v>
      </c>
      <c r="K73" s="1">
        <f>VLOOKUP($F73,AF!$B$39:$M$80,K$9)*$E73</f>
        <v>0</v>
      </c>
      <c r="L73" s="1">
        <f>VLOOKUP($F73,AF!$B$39:$M$80,L$9)*$E73</f>
        <v>0</v>
      </c>
      <c r="M73" s="1">
        <f>VLOOKUP($F73,AF!$B$39:$M$80,M$9)*$E73</f>
        <v>0</v>
      </c>
      <c r="N73" s="1">
        <f>VLOOKUP($F73,AF!$B$39:$M$80,N$9)*$E73</f>
        <v>0</v>
      </c>
      <c r="O73" s="1">
        <f>E73-SUM(G73:N73)</f>
        <v>0</v>
      </c>
      <c r="Q73" s="8">
        <f t="shared" si="35"/>
        <v>0</v>
      </c>
      <c r="R73" s="8">
        <f t="shared" si="36"/>
        <v>0</v>
      </c>
      <c r="S73" s="17">
        <f t="shared" si="37"/>
        <v>0</v>
      </c>
      <c r="U73" s="118">
        <v>302</v>
      </c>
      <c r="V73" s="67">
        <f>VLOOKUP($U73,AF!$B$39:$M$80,V$9)*G73</f>
        <v>0</v>
      </c>
      <c r="W73" s="67">
        <f>VLOOKUP($U73,AF!$B$39:$M$80,W$9)*H73</f>
        <v>0</v>
      </c>
      <c r="X73" s="67">
        <f>VLOOKUP($U73,AF!$B$39:$M$80,X$9)*I73</f>
        <v>0</v>
      </c>
      <c r="Y73" s="67">
        <f>VLOOKUP($U73,AF!$B$39:$M$80,Y$9)*J73</f>
        <v>0</v>
      </c>
      <c r="Z73" s="67">
        <f>VLOOKUP($U73,AF!$B$39:$M$80,Z$9)*K73</f>
        <v>0</v>
      </c>
      <c r="AA73" s="67">
        <f>VLOOKUP($U73,AF!$B$39:$M$80,AA$9)*L73</f>
        <v>0</v>
      </c>
      <c r="AB73" s="67">
        <f>VLOOKUP($U73,AF!$B$39:$M$80,AB$9)*M73</f>
        <v>0</v>
      </c>
      <c r="AC73" s="67">
        <f>VLOOKUP($U73,AF!$B$39:$M$80,AC$9)*N73</f>
        <v>0</v>
      </c>
      <c r="AD73" s="67">
        <f t="shared" si="38"/>
        <v>0</v>
      </c>
      <c r="AF73" s="8">
        <f t="shared" si="39"/>
        <v>0</v>
      </c>
      <c r="AG73" s="8">
        <f t="shared" si="40"/>
        <v>0</v>
      </c>
      <c r="AH73" s="67">
        <f t="shared" si="41"/>
        <v>0</v>
      </c>
    </row>
    <row r="74" spans="1:34" x14ac:dyDescent="0.45">
      <c r="A74" s="118">
        <f t="shared" si="1"/>
        <v>66</v>
      </c>
      <c r="B74" s="14" t="s">
        <v>658</v>
      </c>
      <c r="C74" s="21" t="s">
        <v>564</v>
      </c>
      <c r="E74" s="8">
        <f>SUM(G74:O74)</f>
        <v>47989</v>
      </c>
      <c r="F74" s="1">
        <v>100</v>
      </c>
      <c r="G74" s="70">
        <v>0</v>
      </c>
      <c r="H74" s="70">
        <v>16557</v>
      </c>
      <c r="I74" s="70">
        <v>31432</v>
      </c>
      <c r="J74" s="70">
        <v>0</v>
      </c>
      <c r="K74" s="70">
        <v>0</v>
      </c>
      <c r="L74" s="70">
        <v>0</v>
      </c>
      <c r="M74" s="70">
        <v>0</v>
      </c>
      <c r="N74" s="70">
        <v>0</v>
      </c>
      <c r="O74" s="70">
        <v>0</v>
      </c>
      <c r="Q74" s="8">
        <f t="shared" si="35"/>
        <v>31432</v>
      </c>
      <c r="R74" s="8">
        <f t="shared" si="36"/>
        <v>16557</v>
      </c>
      <c r="S74" s="17">
        <f t="shared" si="37"/>
        <v>47989</v>
      </c>
      <c r="U74" s="118">
        <v>302</v>
      </c>
      <c r="V74" s="67">
        <f>VLOOKUP($U74,AF!$B$39:$M$80,V$9)*G74</f>
        <v>0</v>
      </c>
      <c r="W74" s="67">
        <f>VLOOKUP($U74,AF!$B$39:$M$80,W$9)*H74</f>
        <v>0</v>
      </c>
      <c r="X74" s="67">
        <f>VLOOKUP($U74,AF!$B$39:$M$80,X$9)*I74</f>
        <v>0</v>
      </c>
      <c r="Y74" s="67">
        <f>VLOOKUP($U74,AF!$B$39:$M$80,Y$9)*J74</f>
        <v>0</v>
      </c>
      <c r="Z74" s="67">
        <f>VLOOKUP($U74,AF!$B$39:$M$80,Z$9)*K74</f>
        <v>0</v>
      </c>
      <c r="AA74" s="67">
        <f>VLOOKUP($U74,AF!$B$39:$M$80,AA$9)*L74</f>
        <v>0</v>
      </c>
      <c r="AB74" s="67">
        <f>VLOOKUP($U74,AF!$B$39:$M$80,AB$9)*M74</f>
        <v>0</v>
      </c>
      <c r="AC74" s="67">
        <f>VLOOKUP($U74,AF!$B$39:$M$80,AC$9)*N74</f>
        <v>0</v>
      </c>
      <c r="AD74" s="67">
        <f t="shared" si="38"/>
        <v>47989</v>
      </c>
      <c r="AF74" s="8">
        <f t="shared" si="39"/>
        <v>0</v>
      </c>
      <c r="AG74" s="8">
        <f t="shared" si="40"/>
        <v>0</v>
      </c>
      <c r="AH74" s="67">
        <f t="shared" si="41"/>
        <v>47989</v>
      </c>
    </row>
    <row r="75" spans="1:34" x14ac:dyDescent="0.45">
      <c r="A75" s="118">
        <f t="shared" si="1"/>
        <v>67</v>
      </c>
      <c r="B75" s="14">
        <v>366</v>
      </c>
      <c r="C75" s="21" t="s">
        <v>452</v>
      </c>
      <c r="D75" s="21" t="s">
        <v>467</v>
      </c>
      <c r="E75" s="25">
        <f>0-E76</f>
        <v>0</v>
      </c>
      <c r="F75" s="1">
        <v>101</v>
      </c>
      <c r="G75" s="1">
        <f>VLOOKUP($F75,AF!$B$39:$M$80,G$9)*$E75</f>
        <v>0</v>
      </c>
      <c r="H75" s="1">
        <f>VLOOKUP($F75,AF!$B$39:$M$80,H$9)*$E75</f>
        <v>0</v>
      </c>
      <c r="I75" s="1">
        <f>VLOOKUP($F75,AF!$B$39:$M$80,I$9)*$E75</f>
        <v>0</v>
      </c>
      <c r="J75" s="1">
        <f>VLOOKUP($F75,AF!$B$39:$M$80,J$9)*$E75</f>
        <v>0</v>
      </c>
      <c r="K75" s="1">
        <f>VLOOKUP($F75,AF!$B$39:$M$80,K$9)*$E75</f>
        <v>0</v>
      </c>
      <c r="L75" s="1">
        <f>VLOOKUP($F75,AF!$B$39:$M$80,L$9)*$E75</f>
        <v>0</v>
      </c>
      <c r="M75" s="1">
        <f>VLOOKUP($F75,AF!$B$39:$M$80,M$9)*$E75</f>
        <v>0</v>
      </c>
      <c r="N75" s="1">
        <f>VLOOKUP($F75,AF!$B$39:$M$80,N$9)*$E75</f>
        <v>0</v>
      </c>
      <c r="O75" s="1">
        <f>E75-SUM(G75:N75)</f>
        <v>0</v>
      </c>
      <c r="Q75" s="8">
        <f t="shared" si="35"/>
        <v>0</v>
      </c>
      <c r="R75" s="8">
        <f t="shared" si="36"/>
        <v>0</v>
      </c>
      <c r="S75" s="17">
        <f t="shared" si="37"/>
        <v>0</v>
      </c>
      <c r="U75" s="118">
        <v>302</v>
      </c>
      <c r="V75" s="67">
        <f>VLOOKUP($U75,AF!$B$39:$M$80,V$9)*G75</f>
        <v>0</v>
      </c>
      <c r="W75" s="67">
        <f>VLOOKUP($U75,AF!$B$39:$M$80,W$9)*H75</f>
        <v>0</v>
      </c>
      <c r="X75" s="67">
        <f>VLOOKUP($U75,AF!$B$39:$M$80,X$9)*I75</f>
        <v>0</v>
      </c>
      <c r="Y75" s="67">
        <f>VLOOKUP($U75,AF!$B$39:$M$80,Y$9)*J75</f>
        <v>0</v>
      </c>
      <c r="Z75" s="67">
        <f>VLOOKUP($U75,AF!$B$39:$M$80,Z$9)*K75</f>
        <v>0</v>
      </c>
      <c r="AA75" s="67">
        <f>VLOOKUP($U75,AF!$B$39:$M$80,AA$9)*L75</f>
        <v>0</v>
      </c>
      <c r="AB75" s="67">
        <f>VLOOKUP($U75,AF!$B$39:$M$80,AB$9)*M75</f>
        <v>0</v>
      </c>
      <c r="AC75" s="67">
        <f>VLOOKUP($U75,AF!$B$39:$M$80,AC$9)*N75</f>
        <v>0</v>
      </c>
      <c r="AD75" s="67">
        <f t="shared" si="38"/>
        <v>0</v>
      </c>
      <c r="AF75" s="8">
        <f t="shared" si="39"/>
        <v>0</v>
      </c>
      <c r="AG75" s="8">
        <f t="shared" si="40"/>
        <v>0</v>
      </c>
      <c r="AH75" s="67">
        <f t="shared" si="41"/>
        <v>0</v>
      </c>
    </row>
    <row r="76" spans="1:34" x14ac:dyDescent="0.45">
      <c r="A76" s="118">
        <f t="shared" si="1"/>
        <v>68</v>
      </c>
      <c r="B76" s="14" t="s">
        <v>659</v>
      </c>
      <c r="C76" s="21" t="s">
        <v>566</v>
      </c>
      <c r="E76" s="8">
        <f>SUM(G76:O76)</f>
        <v>0</v>
      </c>
      <c r="F76" s="1">
        <v>100</v>
      </c>
      <c r="G76" s="70">
        <v>0</v>
      </c>
      <c r="H76" s="70">
        <v>0</v>
      </c>
      <c r="I76" s="70">
        <v>0</v>
      </c>
      <c r="J76" s="70">
        <v>0</v>
      </c>
      <c r="K76" s="70">
        <v>0</v>
      </c>
      <c r="L76" s="70">
        <v>0</v>
      </c>
      <c r="M76" s="70">
        <v>0</v>
      </c>
      <c r="N76" s="70">
        <v>0</v>
      </c>
      <c r="O76" s="70">
        <v>0</v>
      </c>
      <c r="Q76" s="8">
        <f t="shared" si="35"/>
        <v>0</v>
      </c>
      <c r="R76" s="8">
        <f t="shared" si="36"/>
        <v>0</v>
      </c>
      <c r="S76" s="17">
        <f t="shared" si="37"/>
        <v>0</v>
      </c>
      <c r="U76" s="118">
        <v>302</v>
      </c>
      <c r="V76" s="67">
        <f>VLOOKUP($U76,AF!$B$39:$M$80,V$9)*G76</f>
        <v>0</v>
      </c>
      <c r="W76" s="67">
        <f>VLOOKUP($U76,AF!$B$39:$M$80,W$9)*H76</f>
        <v>0</v>
      </c>
      <c r="X76" s="67">
        <f>VLOOKUP($U76,AF!$B$39:$M$80,X$9)*I76</f>
        <v>0</v>
      </c>
      <c r="Y76" s="67">
        <f>VLOOKUP($U76,AF!$B$39:$M$80,Y$9)*J76</f>
        <v>0</v>
      </c>
      <c r="Z76" s="67">
        <f>VLOOKUP($U76,AF!$B$39:$M$80,Z$9)*K76</f>
        <v>0</v>
      </c>
      <c r="AA76" s="67">
        <f>VLOOKUP($U76,AF!$B$39:$M$80,AA$9)*L76</f>
        <v>0</v>
      </c>
      <c r="AB76" s="67">
        <f>VLOOKUP($U76,AF!$B$39:$M$80,AB$9)*M76</f>
        <v>0</v>
      </c>
      <c r="AC76" s="67">
        <f>VLOOKUP($U76,AF!$B$39:$M$80,AC$9)*N76</f>
        <v>0</v>
      </c>
      <c r="AD76" s="67">
        <f t="shared" si="38"/>
        <v>0</v>
      </c>
      <c r="AF76" s="8">
        <f t="shared" si="39"/>
        <v>0</v>
      </c>
      <c r="AG76" s="8">
        <f t="shared" si="40"/>
        <v>0</v>
      </c>
      <c r="AH76" s="67">
        <f t="shared" si="41"/>
        <v>0</v>
      </c>
    </row>
    <row r="77" spans="1:34" x14ac:dyDescent="0.45">
      <c r="A77" s="118">
        <f t="shared" si="1"/>
        <v>69</v>
      </c>
      <c r="B77" s="14">
        <v>367</v>
      </c>
      <c r="C77" s="21" t="s">
        <v>454</v>
      </c>
      <c r="D77" s="21" t="s">
        <v>468</v>
      </c>
      <c r="E77" s="25">
        <f>370-E78</f>
        <v>0</v>
      </c>
      <c r="F77" s="1">
        <v>101</v>
      </c>
      <c r="G77" s="1">
        <f>VLOOKUP($F77,AF!$B$39:$M$80,G$9)*$E77</f>
        <v>0</v>
      </c>
      <c r="H77" s="1">
        <f>VLOOKUP($F77,AF!$B$39:$M$80,H$9)*$E77</f>
        <v>0</v>
      </c>
      <c r="I77" s="1">
        <f>VLOOKUP($F77,AF!$B$39:$M$80,I$9)*$E77</f>
        <v>0</v>
      </c>
      <c r="J77" s="1">
        <f>VLOOKUP($F77,AF!$B$39:$M$80,J$9)*$E77</f>
        <v>0</v>
      </c>
      <c r="K77" s="1">
        <f>VLOOKUP($F77,AF!$B$39:$M$80,K$9)*$E77</f>
        <v>0</v>
      </c>
      <c r="L77" s="1">
        <f>VLOOKUP($F77,AF!$B$39:$M$80,L$9)*$E77</f>
        <v>0</v>
      </c>
      <c r="M77" s="1">
        <f>VLOOKUP($F77,AF!$B$39:$M$80,M$9)*$E77</f>
        <v>0</v>
      </c>
      <c r="N77" s="1">
        <f>VLOOKUP($F77,AF!$B$39:$M$80,N$9)*$E77</f>
        <v>0</v>
      </c>
      <c r="O77" s="1">
        <f>E77-SUM(G77:N77)</f>
        <v>0</v>
      </c>
      <c r="Q77" s="8">
        <f t="shared" si="35"/>
        <v>0</v>
      </c>
      <c r="R77" s="8">
        <f t="shared" si="36"/>
        <v>0</v>
      </c>
      <c r="S77" s="17">
        <f t="shared" si="37"/>
        <v>0</v>
      </c>
      <c r="U77" s="118">
        <v>302</v>
      </c>
      <c r="V77" s="67">
        <f>VLOOKUP($U77,AF!$B$39:$M$80,V$9)*G77</f>
        <v>0</v>
      </c>
      <c r="W77" s="67">
        <f>VLOOKUP($U77,AF!$B$39:$M$80,W$9)*H77</f>
        <v>0</v>
      </c>
      <c r="X77" s="67">
        <f>VLOOKUP($U77,AF!$B$39:$M$80,X$9)*I77</f>
        <v>0</v>
      </c>
      <c r="Y77" s="67">
        <f>VLOOKUP($U77,AF!$B$39:$M$80,Y$9)*J77</f>
        <v>0</v>
      </c>
      <c r="Z77" s="67">
        <f>VLOOKUP($U77,AF!$B$39:$M$80,Z$9)*K77</f>
        <v>0</v>
      </c>
      <c r="AA77" s="67">
        <f>VLOOKUP($U77,AF!$B$39:$M$80,AA$9)*L77</f>
        <v>0</v>
      </c>
      <c r="AB77" s="67">
        <f>VLOOKUP($U77,AF!$B$39:$M$80,AB$9)*M77</f>
        <v>0</v>
      </c>
      <c r="AC77" s="67">
        <f>VLOOKUP($U77,AF!$B$39:$M$80,AC$9)*N77</f>
        <v>0</v>
      </c>
      <c r="AD77" s="67">
        <f t="shared" si="38"/>
        <v>0</v>
      </c>
      <c r="AF77" s="8">
        <f t="shared" si="39"/>
        <v>0</v>
      </c>
      <c r="AG77" s="8">
        <f t="shared" si="40"/>
        <v>0</v>
      </c>
      <c r="AH77" s="67">
        <f t="shared" si="41"/>
        <v>0</v>
      </c>
    </row>
    <row r="78" spans="1:34" x14ac:dyDescent="0.45">
      <c r="A78" s="118">
        <f t="shared" si="1"/>
        <v>70</v>
      </c>
      <c r="B78" s="14" t="s">
        <v>660</v>
      </c>
      <c r="C78" s="21" t="s">
        <v>568</v>
      </c>
      <c r="E78" s="8">
        <f>SUM(G78:O78)</f>
        <v>370</v>
      </c>
      <c r="F78" s="1">
        <v>100</v>
      </c>
      <c r="G78" s="70">
        <v>0</v>
      </c>
      <c r="H78" s="70">
        <v>370</v>
      </c>
      <c r="I78" s="70">
        <v>0</v>
      </c>
      <c r="J78" s="70">
        <v>0</v>
      </c>
      <c r="K78" s="70">
        <v>0</v>
      </c>
      <c r="L78" s="70">
        <v>0</v>
      </c>
      <c r="M78" s="70">
        <v>0</v>
      </c>
      <c r="N78" s="70">
        <v>0</v>
      </c>
      <c r="O78" s="70">
        <v>0</v>
      </c>
      <c r="Q78" s="8">
        <f t="shared" si="35"/>
        <v>0</v>
      </c>
      <c r="R78" s="8">
        <f t="shared" si="36"/>
        <v>370</v>
      </c>
      <c r="S78" s="17">
        <f t="shared" si="37"/>
        <v>370</v>
      </c>
      <c r="U78" s="118">
        <v>302</v>
      </c>
      <c r="V78" s="67">
        <f>VLOOKUP($U78,AF!$B$39:$M$80,V$9)*G78</f>
        <v>0</v>
      </c>
      <c r="W78" s="67">
        <f>VLOOKUP($U78,AF!$B$39:$M$80,W$9)*H78</f>
        <v>0</v>
      </c>
      <c r="X78" s="67">
        <f>VLOOKUP($U78,AF!$B$39:$M$80,X$9)*I78</f>
        <v>0</v>
      </c>
      <c r="Y78" s="67">
        <f>VLOOKUP($U78,AF!$B$39:$M$80,Y$9)*J78</f>
        <v>0</v>
      </c>
      <c r="Z78" s="67">
        <f>VLOOKUP($U78,AF!$B$39:$M$80,Z$9)*K78</f>
        <v>0</v>
      </c>
      <c r="AA78" s="67">
        <f>VLOOKUP($U78,AF!$B$39:$M$80,AA$9)*L78</f>
        <v>0</v>
      </c>
      <c r="AB78" s="67">
        <f>VLOOKUP($U78,AF!$B$39:$M$80,AB$9)*M78</f>
        <v>0</v>
      </c>
      <c r="AC78" s="67">
        <f>VLOOKUP($U78,AF!$B$39:$M$80,AC$9)*N78</f>
        <v>0</v>
      </c>
      <c r="AD78" s="67">
        <f t="shared" si="38"/>
        <v>370</v>
      </c>
      <c r="AF78" s="8">
        <f t="shared" si="39"/>
        <v>0</v>
      </c>
      <c r="AG78" s="8">
        <f t="shared" si="40"/>
        <v>0</v>
      </c>
      <c r="AH78" s="67">
        <f t="shared" si="41"/>
        <v>370</v>
      </c>
    </row>
    <row r="79" spans="1:34" x14ac:dyDescent="0.45">
      <c r="A79" s="118">
        <f t="shared" si="1"/>
        <v>71</v>
      </c>
      <c r="B79" s="14">
        <v>368</v>
      </c>
      <c r="C79" s="21" t="s">
        <v>469</v>
      </c>
      <c r="D79" s="21" t="s">
        <v>470</v>
      </c>
      <c r="E79" s="25">
        <f>34245-E80</f>
        <v>0</v>
      </c>
      <c r="F79" s="1">
        <v>101</v>
      </c>
      <c r="G79" s="1">
        <f>VLOOKUP($F79,AF!$B$39:$M$80,G$9)*$E79</f>
        <v>0</v>
      </c>
      <c r="H79" s="1">
        <f>VLOOKUP($F79,AF!$B$39:$M$80,H$9)*$E79</f>
        <v>0</v>
      </c>
      <c r="I79" s="1">
        <f>VLOOKUP($F79,AF!$B$39:$M$80,I$9)*$E79</f>
        <v>0</v>
      </c>
      <c r="J79" s="1">
        <f>VLOOKUP($F79,AF!$B$39:$M$80,J$9)*$E79</f>
        <v>0</v>
      </c>
      <c r="K79" s="1">
        <f>VLOOKUP($F79,AF!$B$39:$M$80,K$9)*$E79</f>
        <v>0</v>
      </c>
      <c r="L79" s="1">
        <f>VLOOKUP($F79,AF!$B$39:$M$80,L$9)*$E79</f>
        <v>0</v>
      </c>
      <c r="M79" s="1">
        <f>VLOOKUP($F79,AF!$B$39:$M$80,M$9)*$E79</f>
        <v>0</v>
      </c>
      <c r="N79" s="1">
        <f>VLOOKUP($F79,AF!$B$39:$M$80,N$9)*$E79</f>
        <v>0</v>
      </c>
      <c r="O79" s="1">
        <f>E79-SUM(G79:N79)</f>
        <v>0</v>
      </c>
      <c r="Q79" s="8">
        <f t="shared" si="35"/>
        <v>0</v>
      </c>
      <c r="R79" s="8">
        <f t="shared" si="36"/>
        <v>0</v>
      </c>
      <c r="S79" s="17">
        <f t="shared" si="37"/>
        <v>0</v>
      </c>
      <c r="U79" s="118">
        <v>302</v>
      </c>
      <c r="V79" s="67">
        <f>VLOOKUP($U79,AF!$B$39:$M$80,V$9)*G79</f>
        <v>0</v>
      </c>
      <c r="W79" s="67">
        <f>VLOOKUP($U79,AF!$B$39:$M$80,W$9)*H79</f>
        <v>0</v>
      </c>
      <c r="X79" s="67">
        <f>VLOOKUP($U79,AF!$B$39:$M$80,X$9)*I79</f>
        <v>0</v>
      </c>
      <c r="Y79" s="67">
        <f>VLOOKUP($U79,AF!$B$39:$M$80,Y$9)*J79</f>
        <v>0</v>
      </c>
      <c r="Z79" s="67">
        <f>VLOOKUP($U79,AF!$B$39:$M$80,Z$9)*K79</f>
        <v>0</v>
      </c>
      <c r="AA79" s="67">
        <f>VLOOKUP($U79,AF!$B$39:$M$80,AA$9)*L79</f>
        <v>0</v>
      </c>
      <c r="AB79" s="67">
        <f>VLOOKUP($U79,AF!$B$39:$M$80,AB$9)*M79</f>
        <v>0</v>
      </c>
      <c r="AC79" s="67">
        <f>VLOOKUP($U79,AF!$B$39:$M$80,AC$9)*N79</f>
        <v>0</v>
      </c>
      <c r="AD79" s="67">
        <f t="shared" si="38"/>
        <v>0</v>
      </c>
      <c r="AF79" s="8">
        <f t="shared" si="39"/>
        <v>0</v>
      </c>
      <c r="AG79" s="8">
        <f t="shared" si="40"/>
        <v>0</v>
      </c>
      <c r="AH79" s="67">
        <f t="shared" si="41"/>
        <v>0</v>
      </c>
    </row>
    <row r="80" spans="1:34" x14ac:dyDescent="0.45">
      <c r="A80" s="118">
        <f t="shared" si="1"/>
        <v>72</v>
      </c>
      <c r="B80" s="14" t="s">
        <v>661</v>
      </c>
      <c r="C80" s="21" t="s">
        <v>662</v>
      </c>
      <c r="E80" s="8">
        <f>SUM(G80:O80)</f>
        <v>34245</v>
      </c>
      <c r="F80" s="1">
        <v>100</v>
      </c>
      <c r="G80" s="70">
        <v>0</v>
      </c>
      <c r="H80" s="70">
        <v>18927</v>
      </c>
      <c r="I80" s="70">
        <v>15318</v>
      </c>
      <c r="J80" s="70">
        <v>0</v>
      </c>
      <c r="K80" s="70">
        <v>0</v>
      </c>
      <c r="L80" s="70">
        <v>0</v>
      </c>
      <c r="M80" s="70">
        <v>0</v>
      </c>
      <c r="N80" s="70">
        <v>0</v>
      </c>
      <c r="O80" s="70">
        <v>0</v>
      </c>
      <c r="Q80" s="8">
        <f t="shared" si="35"/>
        <v>15318</v>
      </c>
      <c r="R80" s="8">
        <f t="shared" si="36"/>
        <v>18927</v>
      </c>
      <c r="S80" s="17">
        <f t="shared" si="37"/>
        <v>34245</v>
      </c>
      <c r="U80" s="118">
        <v>302</v>
      </c>
      <c r="V80" s="67">
        <f>VLOOKUP($U80,AF!$B$39:$M$80,V$9)*G80</f>
        <v>0</v>
      </c>
      <c r="W80" s="67">
        <f>VLOOKUP($U80,AF!$B$39:$M$80,W$9)*H80</f>
        <v>0</v>
      </c>
      <c r="X80" s="67">
        <f>VLOOKUP($U80,AF!$B$39:$M$80,X$9)*I80</f>
        <v>0</v>
      </c>
      <c r="Y80" s="67">
        <f>VLOOKUP($U80,AF!$B$39:$M$80,Y$9)*J80</f>
        <v>0</v>
      </c>
      <c r="Z80" s="67">
        <f>VLOOKUP($U80,AF!$B$39:$M$80,Z$9)*K80</f>
        <v>0</v>
      </c>
      <c r="AA80" s="67">
        <f>VLOOKUP($U80,AF!$B$39:$M$80,AA$9)*L80</f>
        <v>0</v>
      </c>
      <c r="AB80" s="67">
        <f>VLOOKUP($U80,AF!$B$39:$M$80,AB$9)*M80</f>
        <v>0</v>
      </c>
      <c r="AC80" s="67">
        <f>VLOOKUP($U80,AF!$B$39:$M$80,AC$9)*N80</f>
        <v>0</v>
      </c>
      <c r="AD80" s="67">
        <f t="shared" si="38"/>
        <v>34245</v>
      </c>
      <c r="AF80" s="8">
        <f t="shared" si="39"/>
        <v>0</v>
      </c>
      <c r="AG80" s="8">
        <f t="shared" si="40"/>
        <v>0</v>
      </c>
      <c r="AH80" s="67">
        <f t="shared" si="41"/>
        <v>34245</v>
      </c>
    </row>
    <row r="81" spans="1:34" x14ac:dyDescent="0.45">
      <c r="A81" s="118">
        <f t="shared" si="1"/>
        <v>73</v>
      </c>
      <c r="B81" s="14">
        <v>369</v>
      </c>
      <c r="C81" s="21" t="s">
        <v>471</v>
      </c>
      <c r="D81" s="21" t="s">
        <v>472</v>
      </c>
      <c r="E81" s="25">
        <v>0</v>
      </c>
      <c r="F81" s="1">
        <v>101</v>
      </c>
      <c r="G81" s="1">
        <f>VLOOKUP($F81,AF!$B$39:$M$80,G$9)*$E81</f>
        <v>0</v>
      </c>
      <c r="H81" s="1">
        <f>VLOOKUP($F81,AF!$B$39:$M$80,H$9)*$E81</f>
        <v>0</v>
      </c>
      <c r="I81" s="1">
        <f>VLOOKUP($F81,AF!$B$39:$M$80,I$9)*$E81</f>
        <v>0</v>
      </c>
      <c r="J81" s="1">
        <f>VLOOKUP($F81,AF!$B$39:$M$80,J$9)*$E81</f>
        <v>0</v>
      </c>
      <c r="K81" s="1">
        <f>VLOOKUP($F81,AF!$B$39:$M$80,K$9)*$E81</f>
        <v>0</v>
      </c>
      <c r="L81" s="1">
        <f>VLOOKUP($F81,AF!$B$39:$M$80,L$9)*$E81</f>
        <v>0</v>
      </c>
      <c r="M81" s="1">
        <f>VLOOKUP($F81,AF!$B$39:$M$80,M$9)*$E81</f>
        <v>0</v>
      </c>
      <c r="N81" s="1">
        <f>VLOOKUP($F81,AF!$B$39:$M$80,N$9)*$E81</f>
        <v>0</v>
      </c>
      <c r="O81" s="1">
        <f t="shared" ref="O81:O86" si="42">E81-SUM(G81:N81)</f>
        <v>0</v>
      </c>
      <c r="Q81" s="8">
        <f t="shared" si="35"/>
        <v>0</v>
      </c>
      <c r="R81" s="8">
        <f t="shared" si="36"/>
        <v>0</v>
      </c>
      <c r="S81" s="17">
        <f t="shared" si="37"/>
        <v>0</v>
      </c>
      <c r="U81" s="118">
        <v>302</v>
      </c>
      <c r="V81" s="67">
        <f>VLOOKUP($U81,AF!$B$39:$M$80,V$9)*G81</f>
        <v>0</v>
      </c>
      <c r="W81" s="67">
        <f>VLOOKUP($U81,AF!$B$39:$M$80,W$9)*H81</f>
        <v>0</v>
      </c>
      <c r="X81" s="67">
        <f>VLOOKUP($U81,AF!$B$39:$M$80,X$9)*I81</f>
        <v>0</v>
      </c>
      <c r="Y81" s="67">
        <f>VLOOKUP($U81,AF!$B$39:$M$80,Y$9)*J81</f>
        <v>0</v>
      </c>
      <c r="Z81" s="67">
        <f>VLOOKUP($U81,AF!$B$39:$M$80,Z$9)*K81</f>
        <v>0</v>
      </c>
      <c r="AA81" s="67">
        <f>VLOOKUP($U81,AF!$B$39:$M$80,AA$9)*L81</f>
        <v>0</v>
      </c>
      <c r="AB81" s="67">
        <f>VLOOKUP($U81,AF!$B$39:$M$80,AB$9)*M81</f>
        <v>0</v>
      </c>
      <c r="AC81" s="67">
        <f>VLOOKUP($U81,AF!$B$39:$M$80,AC$9)*N81</f>
        <v>0</v>
      </c>
      <c r="AD81" s="67">
        <f t="shared" si="38"/>
        <v>0</v>
      </c>
      <c r="AF81" s="8">
        <f t="shared" si="39"/>
        <v>0</v>
      </c>
      <c r="AG81" s="8">
        <f t="shared" si="40"/>
        <v>0</v>
      </c>
      <c r="AH81" s="67">
        <f t="shared" si="41"/>
        <v>0</v>
      </c>
    </row>
    <row r="82" spans="1:34" x14ac:dyDescent="0.45">
      <c r="A82" s="118">
        <f t="shared" si="1"/>
        <v>74</v>
      </c>
      <c r="B82" s="14">
        <v>370</v>
      </c>
      <c r="C82" s="21" t="s">
        <v>473</v>
      </c>
      <c r="D82" s="21" t="s">
        <v>474</v>
      </c>
      <c r="E82" s="25">
        <v>0</v>
      </c>
      <c r="F82" s="1">
        <v>101</v>
      </c>
      <c r="G82" s="1">
        <f>VLOOKUP($F82,AF!$B$39:$M$80,G$9)*$E82</f>
        <v>0</v>
      </c>
      <c r="H82" s="1">
        <f>VLOOKUP($F82,AF!$B$39:$M$80,H$9)*$E82</f>
        <v>0</v>
      </c>
      <c r="I82" s="1">
        <f>VLOOKUP($F82,AF!$B$39:$M$80,I$9)*$E82</f>
        <v>0</v>
      </c>
      <c r="J82" s="1">
        <f>VLOOKUP($F82,AF!$B$39:$M$80,J$9)*$E82</f>
        <v>0</v>
      </c>
      <c r="K82" s="1">
        <f>VLOOKUP($F82,AF!$B$39:$M$80,K$9)*$E82</f>
        <v>0</v>
      </c>
      <c r="L82" s="1">
        <f>VLOOKUP($F82,AF!$B$39:$M$80,L$9)*$E82</f>
        <v>0</v>
      </c>
      <c r="M82" s="1">
        <f>VLOOKUP($F82,AF!$B$39:$M$80,M$9)*$E82</f>
        <v>0</v>
      </c>
      <c r="N82" s="1">
        <f>VLOOKUP($F82,AF!$B$39:$M$80,N$9)*$E82</f>
        <v>0</v>
      </c>
      <c r="O82" s="1">
        <f t="shared" si="42"/>
        <v>0</v>
      </c>
      <c r="Q82" s="8">
        <f t="shared" si="35"/>
        <v>0</v>
      </c>
      <c r="R82" s="8">
        <f t="shared" si="36"/>
        <v>0</v>
      </c>
      <c r="S82" s="17">
        <f t="shared" si="37"/>
        <v>0</v>
      </c>
      <c r="U82" s="118">
        <f>+U81</f>
        <v>302</v>
      </c>
      <c r="V82" s="67">
        <f>VLOOKUP($U82,AF!$B$39:$M$80,V$9)*G82</f>
        <v>0</v>
      </c>
      <c r="W82" s="67">
        <f>VLOOKUP($U82,AF!$B$39:$M$80,W$9)*H82</f>
        <v>0</v>
      </c>
      <c r="X82" s="67">
        <f>VLOOKUP($U82,AF!$B$39:$M$80,X$9)*I82</f>
        <v>0</v>
      </c>
      <c r="Y82" s="67">
        <f>VLOOKUP($U82,AF!$B$39:$M$80,Y$9)*J82</f>
        <v>0</v>
      </c>
      <c r="Z82" s="67">
        <f>VLOOKUP($U82,AF!$B$39:$M$80,Z$9)*K82</f>
        <v>0</v>
      </c>
      <c r="AA82" s="67">
        <f>VLOOKUP($U82,AF!$B$39:$M$80,AA$9)*L82</f>
        <v>0</v>
      </c>
      <c r="AB82" s="67">
        <f>VLOOKUP($U82,AF!$B$39:$M$80,AB$9)*M82</f>
        <v>0</v>
      </c>
      <c r="AC82" s="67">
        <f>VLOOKUP($U82,AF!$B$39:$M$80,AC$9)*N82</f>
        <v>0</v>
      </c>
      <c r="AD82" s="67">
        <f t="shared" si="38"/>
        <v>0</v>
      </c>
      <c r="AF82" s="8">
        <f t="shared" si="39"/>
        <v>0</v>
      </c>
      <c r="AG82" s="8">
        <f t="shared" si="40"/>
        <v>0</v>
      </c>
      <c r="AH82" s="67">
        <f t="shared" si="41"/>
        <v>0</v>
      </c>
    </row>
    <row r="83" spans="1:34" x14ac:dyDescent="0.45">
      <c r="A83" s="118">
        <f t="shared" si="1"/>
        <v>75</v>
      </c>
      <c r="B83" s="14">
        <v>371</v>
      </c>
      <c r="C83" s="21" t="s">
        <v>475</v>
      </c>
      <c r="D83" s="21" t="s">
        <v>476</v>
      </c>
      <c r="E83" s="25">
        <v>0</v>
      </c>
      <c r="F83" s="1">
        <v>101</v>
      </c>
      <c r="G83" s="1">
        <f>VLOOKUP($F83,AF!$B$39:$M$80,G$9)*$E83</f>
        <v>0</v>
      </c>
      <c r="H83" s="1">
        <f>VLOOKUP($F83,AF!$B$39:$M$80,H$9)*$E83</f>
        <v>0</v>
      </c>
      <c r="I83" s="1">
        <f>VLOOKUP($F83,AF!$B$39:$M$80,I$9)*$E83</f>
        <v>0</v>
      </c>
      <c r="J83" s="1">
        <f>VLOOKUP($F83,AF!$B$39:$M$80,J$9)*$E83</f>
        <v>0</v>
      </c>
      <c r="K83" s="1">
        <f>VLOOKUP($F83,AF!$B$39:$M$80,K$9)*$E83</f>
        <v>0</v>
      </c>
      <c r="L83" s="1">
        <f>VLOOKUP($F83,AF!$B$39:$M$80,L$9)*$E83</f>
        <v>0</v>
      </c>
      <c r="M83" s="1">
        <f>VLOOKUP($F83,AF!$B$39:$M$80,M$9)*$E83</f>
        <v>0</v>
      </c>
      <c r="N83" s="1">
        <f>VLOOKUP($F83,AF!$B$39:$M$80,N$9)*$E83</f>
        <v>0</v>
      </c>
      <c r="O83" s="1">
        <f t="shared" si="42"/>
        <v>0</v>
      </c>
      <c r="Q83" s="8">
        <f t="shared" si="35"/>
        <v>0</v>
      </c>
      <c r="R83" s="8">
        <f t="shared" si="36"/>
        <v>0</v>
      </c>
      <c r="S83" s="17">
        <f t="shared" si="37"/>
        <v>0</v>
      </c>
      <c r="U83" s="118">
        <v>302</v>
      </c>
      <c r="V83" s="67">
        <f>VLOOKUP($U83,AF!$B$39:$M$80,V$9)*G83</f>
        <v>0</v>
      </c>
      <c r="W83" s="67">
        <f>VLOOKUP($U83,AF!$B$39:$M$80,W$9)*H83</f>
        <v>0</v>
      </c>
      <c r="X83" s="67">
        <f>VLOOKUP($U83,AF!$B$39:$M$80,X$9)*I83</f>
        <v>0</v>
      </c>
      <c r="Y83" s="67">
        <f>VLOOKUP($U83,AF!$B$39:$M$80,Y$9)*J83</f>
        <v>0</v>
      </c>
      <c r="Z83" s="67">
        <f>VLOOKUP($U83,AF!$B$39:$M$80,Z$9)*K83</f>
        <v>0</v>
      </c>
      <c r="AA83" s="67">
        <f>VLOOKUP($U83,AF!$B$39:$M$80,AA$9)*L83</f>
        <v>0</v>
      </c>
      <c r="AB83" s="67">
        <f>VLOOKUP($U83,AF!$B$39:$M$80,AB$9)*M83</f>
        <v>0</v>
      </c>
      <c r="AC83" s="67">
        <f>VLOOKUP($U83,AF!$B$39:$M$80,AC$9)*N83</f>
        <v>0</v>
      </c>
      <c r="AD83" s="67">
        <f t="shared" si="38"/>
        <v>0</v>
      </c>
      <c r="AF83" s="8">
        <f t="shared" si="39"/>
        <v>0</v>
      </c>
      <c r="AG83" s="8">
        <f t="shared" si="40"/>
        <v>0</v>
      </c>
      <c r="AH83" s="67">
        <f t="shared" si="41"/>
        <v>0</v>
      </c>
    </row>
    <row r="84" spans="1:34" x14ac:dyDescent="0.45">
      <c r="A84" s="118">
        <f t="shared" si="1"/>
        <v>76</v>
      </c>
      <c r="B84" s="14">
        <v>372</v>
      </c>
      <c r="C84" s="21" t="s">
        <v>477</v>
      </c>
      <c r="D84" s="21" t="s">
        <v>478</v>
      </c>
      <c r="E84" s="25">
        <v>0</v>
      </c>
      <c r="F84" s="1">
        <v>101</v>
      </c>
      <c r="G84" s="1">
        <f>VLOOKUP($F84,AF!$B$39:$M$80,G$9)*$E84</f>
        <v>0</v>
      </c>
      <c r="H84" s="1">
        <f>VLOOKUP($F84,AF!$B$39:$M$80,H$9)*$E84</f>
        <v>0</v>
      </c>
      <c r="I84" s="1">
        <f>VLOOKUP($F84,AF!$B$39:$M$80,I$9)*$E84</f>
        <v>0</v>
      </c>
      <c r="J84" s="1">
        <f>VLOOKUP($F84,AF!$B$39:$M$80,J$9)*$E84</f>
        <v>0</v>
      </c>
      <c r="K84" s="1">
        <f>VLOOKUP($F84,AF!$B$39:$M$80,K$9)*$E84</f>
        <v>0</v>
      </c>
      <c r="L84" s="1">
        <f>VLOOKUP($F84,AF!$B$39:$M$80,L$9)*$E84</f>
        <v>0</v>
      </c>
      <c r="M84" s="1">
        <f>VLOOKUP($F84,AF!$B$39:$M$80,M$9)*$E84</f>
        <v>0</v>
      </c>
      <c r="N84" s="1">
        <f>VLOOKUP($F84,AF!$B$39:$M$80,N$9)*$E84</f>
        <v>0</v>
      </c>
      <c r="O84" s="1">
        <f t="shared" si="42"/>
        <v>0</v>
      </c>
      <c r="Q84" s="8">
        <f t="shared" si="35"/>
        <v>0</v>
      </c>
      <c r="R84" s="8">
        <f t="shared" si="36"/>
        <v>0</v>
      </c>
      <c r="S84" s="17">
        <f t="shared" si="37"/>
        <v>0</v>
      </c>
      <c r="U84" s="118">
        <v>302</v>
      </c>
      <c r="V84" s="67">
        <f>VLOOKUP($U84,AF!$B$39:$M$80,V$9)*G84</f>
        <v>0</v>
      </c>
      <c r="W84" s="67">
        <f>VLOOKUP($U84,AF!$B$39:$M$80,W$9)*H84</f>
        <v>0</v>
      </c>
      <c r="X84" s="67">
        <f>VLOOKUP($U84,AF!$B$39:$M$80,X$9)*I84</f>
        <v>0</v>
      </c>
      <c r="Y84" s="67">
        <f>VLOOKUP($U84,AF!$B$39:$M$80,Y$9)*J84</f>
        <v>0</v>
      </c>
      <c r="Z84" s="67">
        <f>VLOOKUP($U84,AF!$B$39:$M$80,Z$9)*K84</f>
        <v>0</v>
      </c>
      <c r="AA84" s="67">
        <f>VLOOKUP($U84,AF!$B$39:$M$80,AA$9)*L84</f>
        <v>0</v>
      </c>
      <c r="AB84" s="67">
        <f>VLOOKUP($U84,AF!$B$39:$M$80,AB$9)*M84</f>
        <v>0</v>
      </c>
      <c r="AC84" s="67">
        <f>VLOOKUP($U84,AF!$B$39:$M$80,AC$9)*N84</f>
        <v>0</v>
      </c>
      <c r="AD84" s="67">
        <f t="shared" si="38"/>
        <v>0</v>
      </c>
      <c r="AF84" s="8">
        <f t="shared" si="39"/>
        <v>0</v>
      </c>
      <c r="AG84" s="8">
        <f t="shared" si="40"/>
        <v>0</v>
      </c>
      <c r="AH84" s="67">
        <f t="shared" si="41"/>
        <v>0</v>
      </c>
    </row>
    <row r="85" spans="1:34" x14ac:dyDescent="0.45">
      <c r="A85" s="118">
        <f t="shared" si="1"/>
        <v>77</v>
      </c>
      <c r="B85" s="14">
        <v>373</v>
      </c>
      <c r="C85" s="21" t="s">
        <v>479</v>
      </c>
      <c r="D85" s="21" t="s">
        <v>480</v>
      </c>
      <c r="E85" s="25">
        <v>0</v>
      </c>
      <c r="F85" s="1">
        <v>101</v>
      </c>
      <c r="G85" s="1">
        <f>VLOOKUP($F85,AF!$B$39:$M$80,G$9)*$E85</f>
        <v>0</v>
      </c>
      <c r="H85" s="1">
        <f>VLOOKUP($F85,AF!$B$39:$M$80,H$9)*$E85</f>
        <v>0</v>
      </c>
      <c r="I85" s="1">
        <f>VLOOKUP($F85,AF!$B$39:$M$80,I$9)*$E85</f>
        <v>0</v>
      </c>
      <c r="J85" s="1">
        <f>VLOOKUP($F85,AF!$B$39:$M$80,J$9)*$E85</f>
        <v>0</v>
      </c>
      <c r="K85" s="1">
        <f>VLOOKUP($F85,AF!$B$39:$M$80,K$9)*$E85</f>
        <v>0</v>
      </c>
      <c r="L85" s="1">
        <f>VLOOKUP($F85,AF!$B$39:$M$80,L$9)*$E85</f>
        <v>0</v>
      </c>
      <c r="M85" s="1">
        <f>VLOOKUP($F85,AF!$B$39:$M$80,M$9)*$E85</f>
        <v>0</v>
      </c>
      <c r="N85" s="1">
        <f>VLOOKUP($F85,AF!$B$39:$M$80,N$9)*$E85</f>
        <v>0</v>
      </c>
      <c r="O85" s="1">
        <f t="shared" si="42"/>
        <v>0</v>
      </c>
      <c r="Q85" s="8">
        <f t="shared" si="35"/>
        <v>0</v>
      </c>
      <c r="R85" s="8">
        <f t="shared" si="36"/>
        <v>0</v>
      </c>
      <c r="S85" s="17">
        <f t="shared" si="37"/>
        <v>0</v>
      </c>
      <c r="U85" s="118">
        <v>302</v>
      </c>
      <c r="V85" s="67">
        <f>VLOOKUP($U85,AF!$B$39:$M$80,V$9)*G85</f>
        <v>0</v>
      </c>
      <c r="W85" s="67">
        <f>VLOOKUP($U85,AF!$B$39:$M$80,W$9)*H85</f>
        <v>0</v>
      </c>
      <c r="X85" s="67">
        <f>VLOOKUP($U85,AF!$B$39:$M$80,X$9)*I85</f>
        <v>0</v>
      </c>
      <c r="Y85" s="67">
        <f>VLOOKUP($U85,AF!$B$39:$M$80,Y$9)*J85</f>
        <v>0</v>
      </c>
      <c r="Z85" s="67">
        <f>VLOOKUP($U85,AF!$B$39:$M$80,Z$9)*K85</f>
        <v>0</v>
      </c>
      <c r="AA85" s="67">
        <f>VLOOKUP($U85,AF!$B$39:$M$80,AA$9)*L85</f>
        <v>0</v>
      </c>
      <c r="AB85" s="67">
        <f>VLOOKUP($U85,AF!$B$39:$M$80,AB$9)*M85</f>
        <v>0</v>
      </c>
      <c r="AC85" s="67">
        <f>VLOOKUP($U85,AF!$B$39:$M$80,AC$9)*N85</f>
        <v>0</v>
      </c>
      <c r="AD85" s="67">
        <f t="shared" si="38"/>
        <v>0</v>
      </c>
      <c r="AF85" s="8">
        <f t="shared" si="39"/>
        <v>0</v>
      </c>
      <c r="AG85" s="8">
        <f t="shared" si="40"/>
        <v>0</v>
      </c>
      <c r="AH85" s="67">
        <f t="shared" si="41"/>
        <v>0</v>
      </c>
    </row>
    <row r="86" spans="1:34" x14ac:dyDescent="0.45">
      <c r="A86" s="118">
        <f t="shared" si="1"/>
        <v>78</v>
      </c>
      <c r="B86" s="14">
        <v>374</v>
      </c>
      <c r="C86" s="21" t="s">
        <v>481</v>
      </c>
      <c r="D86" s="21" t="s">
        <v>482</v>
      </c>
      <c r="E86" s="25">
        <v>0</v>
      </c>
      <c r="F86" s="1">
        <v>101</v>
      </c>
      <c r="G86" s="1">
        <f>VLOOKUP($F86,AF!$B$39:$M$80,G$9)*$E86</f>
        <v>0</v>
      </c>
      <c r="H86" s="1">
        <f>VLOOKUP($F86,AF!$B$39:$M$80,H$9)*$E86</f>
        <v>0</v>
      </c>
      <c r="I86" s="1">
        <f>VLOOKUP($F86,AF!$B$39:$M$80,I$9)*$E86</f>
        <v>0</v>
      </c>
      <c r="J86" s="1">
        <f>VLOOKUP($F86,AF!$B$39:$M$80,J$9)*$E86</f>
        <v>0</v>
      </c>
      <c r="K86" s="1">
        <f>VLOOKUP($F86,AF!$B$39:$M$80,K$9)*$E86</f>
        <v>0</v>
      </c>
      <c r="L86" s="1">
        <f>VLOOKUP($F86,AF!$B$39:$M$80,L$9)*$E86</f>
        <v>0</v>
      </c>
      <c r="M86" s="1">
        <f>VLOOKUP($F86,AF!$B$39:$M$80,M$9)*$E86</f>
        <v>0</v>
      </c>
      <c r="N86" s="1">
        <f>VLOOKUP($F86,AF!$B$39:$M$80,N$9)*$E86</f>
        <v>0</v>
      </c>
      <c r="O86" s="1">
        <f t="shared" si="42"/>
        <v>0</v>
      </c>
      <c r="Q86" s="8">
        <f t="shared" si="35"/>
        <v>0</v>
      </c>
      <c r="R86" s="8">
        <f t="shared" si="36"/>
        <v>0</v>
      </c>
      <c r="S86" s="17">
        <f t="shared" si="37"/>
        <v>0</v>
      </c>
      <c r="U86" s="118">
        <v>302</v>
      </c>
      <c r="V86" s="67">
        <f>VLOOKUP($U86,AF!$B$39:$M$80,V$9)*G86</f>
        <v>0</v>
      </c>
      <c r="W86" s="67">
        <f>VLOOKUP($U86,AF!$B$39:$M$80,W$9)*H86</f>
        <v>0</v>
      </c>
      <c r="X86" s="67">
        <f>VLOOKUP($U86,AF!$B$39:$M$80,X$9)*I86</f>
        <v>0</v>
      </c>
      <c r="Y86" s="67">
        <f>VLOOKUP($U86,AF!$B$39:$M$80,Y$9)*J86</f>
        <v>0</v>
      </c>
      <c r="Z86" s="67">
        <f>VLOOKUP($U86,AF!$B$39:$M$80,Z$9)*K86</f>
        <v>0</v>
      </c>
      <c r="AA86" s="67">
        <f>VLOOKUP($U86,AF!$B$39:$M$80,AA$9)*L86</f>
        <v>0</v>
      </c>
      <c r="AB86" s="67">
        <f>VLOOKUP($U86,AF!$B$39:$M$80,AB$9)*M86</f>
        <v>0</v>
      </c>
      <c r="AC86" s="67">
        <f>VLOOKUP($U86,AF!$B$39:$M$80,AC$9)*N86</f>
        <v>0</v>
      </c>
      <c r="AD86" s="67">
        <f t="shared" si="38"/>
        <v>0</v>
      </c>
      <c r="AF86" s="8">
        <f t="shared" si="39"/>
        <v>0</v>
      </c>
      <c r="AG86" s="8">
        <f t="shared" si="40"/>
        <v>0</v>
      </c>
      <c r="AH86" s="67">
        <f t="shared" si="41"/>
        <v>0</v>
      </c>
    </row>
    <row r="87" spans="1:34" x14ac:dyDescent="0.45">
      <c r="A87" s="118">
        <f t="shared" si="1"/>
        <v>79</v>
      </c>
      <c r="C87" s="21" t="s">
        <v>0</v>
      </c>
      <c r="E87" s="32">
        <f>SUM(E63:E86)</f>
        <v>83833800</v>
      </c>
      <c r="F87" s="1"/>
      <c r="G87" s="32">
        <f t="shared" ref="G87:O87" si="43">SUM(G63:G86)</f>
        <v>1254365</v>
      </c>
      <c r="H87" s="32">
        <f t="shared" si="43"/>
        <v>4189928</v>
      </c>
      <c r="I87" s="32">
        <f t="shared" si="43"/>
        <v>10761837</v>
      </c>
      <c r="J87" s="32">
        <f t="shared" si="43"/>
        <v>0</v>
      </c>
      <c r="K87" s="32">
        <f t="shared" si="43"/>
        <v>37075579</v>
      </c>
      <c r="L87" s="32">
        <f t="shared" si="43"/>
        <v>0</v>
      </c>
      <c r="M87" s="32">
        <f t="shared" si="43"/>
        <v>0</v>
      </c>
      <c r="N87" s="32">
        <f t="shared" si="43"/>
        <v>0</v>
      </c>
      <c r="O87" s="32">
        <f t="shared" si="43"/>
        <v>30552091</v>
      </c>
      <c r="Q87" s="61">
        <f>SUM(Q63:Q86)</f>
        <v>49091781</v>
      </c>
      <c r="R87" s="61">
        <f>SUM(R63:R86)</f>
        <v>4189928</v>
      </c>
      <c r="S87" s="32">
        <f>SUM(S63:S86)</f>
        <v>83833800</v>
      </c>
      <c r="U87" s="118"/>
      <c r="V87" s="32">
        <f t="shared" ref="V87:AD87" si="44">SUM(V63:V86)</f>
        <v>113520.0325</v>
      </c>
      <c r="W87" s="32">
        <f t="shared" si="44"/>
        <v>375943.69699999999</v>
      </c>
      <c r="X87" s="32">
        <f t="shared" si="44"/>
        <v>969715.37349999999</v>
      </c>
      <c r="Y87" s="32">
        <f t="shared" si="44"/>
        <v>0</v>
      </c>
      <c r="Z87" s="32">
        <f t="shared" si="44"/>
        <v>3355339.8994999998</v>
      </c>
      <c r="AA87" s="32">
        <f t="shared" si="44"/>
        <v>0</v>
      </c>
      <c r="AB87" s="32">
        <f t="shared" si="44"/>
        <v>0</v>
      </c>
      <c r="AC87" s="32">
        <f t="shared" si="44"/>
        <v>0</v>
      </c>
      <c r="AD87" s="32">
        <f t="shared" si="44"/>
        <v>79019280.997500002</v>
      </c>
      <c r="AF87" s="61">
        <f>SUM(AF63:AF86)</f>
        <v>4438575.3055000007</v>
      </c>
      <c r="AG87" s="61">
        <f>SUM(AG63:AG86)</f>
        <v>375943.69699999999</v>
      </c>
      <c r="AH87" s="32">
        <f t="shared" ref="AH87" si="45">SUM(AH63:AH86)</f>
        <v>83833800</v>
      </c>
    </row>
    <row r="88" spans="1:34" x14ac:dyDescent="0.45">
      <c r="A88" s="118">
        <f t="shared" si="1"/>
        <v>80</v>
      </c>
      <c r="G88" s="118"/>
      <c r="I88" s="118"/>
      <c r="K88" s="118"/>
      <c r="M88" s="118"/>
      <c r="O88" s="118"/>
      <c r="Q88" s="74"/>
      <c r="R88" s="73"/>
      <c r="U88" s="118"/>
      <c r="AF88" s="74"/>
      <c r="AG88" s="73"/>
    </row>
    <row r="89" spans="1:34" x14ac:dyDescent="0.45">
      <c r="A89" s="118">
        <f t="shared" si="1"/>
        <v>81</v>
      </c>
      <c r="B89" s="66" t="s">
        <v>483</v>
      </c>
      <c r="C89" s="66"/>
      <c r="E89" s="30"/>
      <c r="F89" s="1"/>
      <c r="G89" s="30"/>
      <c r="H89" s="30"/>
      <c r="I89" s="30"/>
      <c r="J89" s="30"/>
      <c r="K89" s="30"/>
      <c r="L89" s="30"/>
      <c r="M89" s="30"/>
      <c r="N89" s="30"/>
      <c r="O89" s="30"/>
      <c r="Q89" s="29"/>
      <c r="R89" s="29"/>
      <c r="S89" s="30"/>
      <c r="U89" s="63"/>
      <c r="V89" s="67"/>
      <c r="W89" s="67"/>
      <c r="X89" s="67"/>
      <c r="Y89" s="67"/>
      <c r="Z89" s="67"/>
      <c r="AA89" s="67"/>
      <c r="AB89" s="67"/>
      <c r="AC89" s="67"/>
      <c r="AD89" s="67"/>
      <c r="AF89" s="29"/>
      <c r="AG89" s="29"/>
      <c r="AH89" s="67"/>
    </row>
    <row r="90" spans="1:34" x14ac:dyDescent="0.45">
      <c r="A90" s="118">
        <f t="shared" si="1"/>
        <v>82</v>
      </c>
      <c r="B90" s="14">
        <v>380</v>
      </c>
      <c r="C90" s="21" t="s">
        <v>28</v>
      </c>
      <c r="D90" s="21" t="s">
        <v>484</v>
      </c>
      <c r="E90" s="25">
        <v>0</v>
      </c>
      <c r="F90" s="1">
        <v>101</v>
      </c>
      <c r="G90" s="1">
        <f>VLOOKUP($F90,AF!$B$39:$M$80,G$9)*$E90</f>
        <v>0</v>
      </c>
      <c r="H90" s="1">
        <f>VLOOKUP($F90,AF!$B$39:$M$80,H$9)*$E90</f>
        <v>0</v>
      </c>
      <c r="I90" s="1">
        <f>VLOOKUP($F90,AF!$B$39:$M$80,I$9)*$E90</f>
        <v>0</v>
      </c>
      <c r="J90" s="1">
        <f>VLOOKUP($F90,AF!$B$39:$M$80,J$9)*$E90</f>
        <v>0</v>
      </c>
      <c r="K90" s="1">
        <f>VLOOKUP($F90,AF!$B$39:$M$80,K$9)*$E90</f>
        <v>0</v>
      </c>
      <c r="L90" s="1">
        <f>VLOOKUP($F90,AF!$B$39:$M$80,L$9)*$E90</f>
        <v>0</v>
      </c>
      <c r="M90" s="1">
        <f>VLOOKUP($F90,AF!$B$39:$M$80,M$9)*$E90</f>
        <v>0</v>
      </c>
      <c r="N90" s="1">
        <f>VLOOKUP($F90,AF!$B$39:$M$80,N$9)*$E90</f>
        <v>0</v>
      </c>
      <c r="O90" s="1">
        <f t="shared" ref="O90:O96" si="46">E90-SUM(G90:N90)</f>
        <v>0</v>
      </c>
      <c r="Q90" s="8">
        <f t="shared" ref="Q90:R96" si="47">+M90+K90+I90+G90</f>
        <v>0</v>
      </c>
      <c r="R90" s="8">
        <f t="shared" si="47"/>
        <v>0</v>
      </c>
      <c r="S90" s="17">
        <f t="shared" ref="S90:S96" si="48">Q90+R90+O90</f>
        <v>0</v>
      </c>
      <c r="U90" s="118">
        <v>302</v>
      </c>
      <c r="V90" s="67">
        <f>VLOOKUP($U90,AF!$B$39:$M$80,V$9)*G90</f>
        <v>0</v>
      </c>
      <c r="W90" s="67">
        <f>VLOOKUP($U90,AF!$B$39:$M$80,W$9)*H90</f>
        <v>0</v>
      </c>
      <c r="X90" s="67">
        <f>VLOOKUP($U90,AF!$B$39:$M$80,X$9)*I90</f>
        <v>0</v>
      </c>
      <c r="Y90" s="67">
        <f>VLOOKUP($U90,AF!$B$39:$M$80,Y$9)*J90</f>
        <v>0</v>
      </c>
      <c r="Z90" s="67">
        <f>VLOOKUP($U90,AF!$B$39:$M$80,Z$9)*K90</f>
        <v>0</v>
      </c>
      <c r="AA90" s="67">
        <f>VLOOKUP($U90,AF!$B$39:$M$80,AA$9)*L90</f>
        <v>0</v>
      </c>
      <c r="AB90" s="67">
        <f>VLOOKUP($U90,AF!$B$39:$M$80,AB$9)*M90</f>
        <v>0</v>
      </c>
      <c r="AC90" s="67">
        <f>VLOOKUP($U90,AF!$B$39:$M$80,AC$9)*N90</f>
        <v>0</v>
      </c>
      <c r="AD90" s="67">
        <f t="shared" ref="AD90:AD96" si="49">E90-SUM(V90:AC90)</f>
        <v>0</v>
      </c>
      <c r="AF90" s="8">
        <f t="shared" ref="AF90:AG96" si="50">+AB90+Z90+X90+V90</f>
        <v>0</v>
      </c>
      <c r="AG90" s="8">
        <f t="shared" si="50"/>
        <v>0</v>
      </c>
      <c r="AH90" s="67">
        <f t="shared" ref="AH90:AH96" si="51">+AF90+AG90+AD90</f>
        <v>0</v>
      </c>
    </row>
    <row r="91" spans="1:34" x14ac:dyDescent="0.45">
      <c r="A91" s="118">
        <f t="shared" si="1"/>
        <v>83</v>
      </c>
      <c r="B91" s="14">
        <v>381</v>
      </c>
      <c r="C91" s="21" t="s">
        <v>29</v>
      </c>
      <c r="D91" s="21" t="s">
        <v>485</v>
      </c>
      <c r="E91" s="25">
        <v>0</v>
      </c>
      <c r="F91" s="1">
        <v>101</v>
      </c>
      <c r="G91" s="1">
        <f>VLOOKUP($F91,AF!$B$39:$M$80,G$9)*$E91</f>
        <v>0</v>
      </c>
      <c r="H91" s="1">
        <f>VLOOKUP($F91,AF!$B$39:$M$80,H$9)*$E91</f>
        <v>0</v>
      </c>
      <c r="I91" s="1">
        <f>VLOOKUP($F91,AF!$B$39:$M$80,I$9)*$E91</f>
        <v>0</v>
      </c>
      <c r="J91" s="1">
        <f>VLOOKUP($F91,AF!$B$39:$M$80,J$9)*$E91</f>
        <v>0</v>
      </c>
      <c r="K91" s="1">
        <f>VLOOKUP($F91,AF!$B$39:$M$80,K$9)*$E91</f>
        <v>0</v>
      </c>
      <c r="L91" s="1">
        <f>VLOOKUP($F91,AF!$B$39:$M$80,L$9)*$E91</f>
        <v>0</v>
      </c>
      <c r="M91" s="1">
        <f>VLOOKUP($F91,AF!$B$39:$M$80,M$9)*$E91</f>
        <v>0</v>
      </c>
      <c r="N91" s="1">
        <f>VLOOKUP($F91,AF!$B$39:$M$80,N$9)*$E91</f>
        <v>0</v>
      </c>
      <c r="O91" s="1">
        <f t="shared" si="46"/>
        <v>0</v>
      </c>
      <c r="Q91" s="8">
        <f t="shared" si="47"/>
        <v>0</v>
      </c>
      <c r="R91" s="8">
        <f t="shared" si="47"/>
        <v>0</v>
      </c>
      <c r="S91" s="17">
        <f t="shared" si="48"/>
        <v>0</v>
      </c>
      <c r="U91" s="118">
        <v>302</v>
      </c>
      <c r="V91" s="67">
        <f>VLOOKUP($U91,AF!$B$39:$M$80,V$9)*G91</f>
        <v>0</v>
      </c>
      <c r="W91" s="67">
        <f>VLOOKUP($U91,AF!$B$39:$M$80,W$9)*H91</f>
        <v>0</v>
      </c>
      <c r="X91" s="67">
        <f>VLOOKUP($U91,AF!$B$39:$M$80,X$9)*I91</f>
        <v>0</v>
      </c>
      <c r="Y91" s="67">
        <f>VLOOKUP($U91,AF!$B$39:$M$80,Y$9)*J91</f>
        <v>0</v>
      </c>
      <c r="Z91" s="67">
        <f>VLOOKUP($U91,AF!$B$39:$M$80,Z$9)*K91</f>
        <v>0</v>
      </c>
      <c r="AA91" s="67">
        <f>VLOOKUP($U91,AF!$B$39:$M$80,AA$9)*L91</f>
        <v>0</v>
      </c>
      <c r="AB91" s="67">
        <f>VLOOKUP($U91,AF!$B$39:$M$80,AB$9)*M91</f>
        <v>0</v>
      </c>
      <c r="AC91" s="67">
        <f>VLOOKUP($U91,AF!$B$39:$M$80,AC$9)*N91</f>
        <v>0</v>
      </c>
      <c r="AD91" s="67">
        <f t="shared" si="49"/>
        <v>0</v>
      </c>
      <c r="AF91" s="8">
        <f t="shared" si="50"/>
        <v>0</v>
      </c>
      <c r="AG91" s="8">
        <f t="shared" si="50"/>
        <v>0</v>
      </c>
      <c r="AH91" s="67">
        <f t="shared" si="51"/>
        <v>0</v>
      </c>
    </row>
    <row r="92" spans="1:34" x14ac:dyDescent="0.45">
      <c r="A92" s="118">
        <f t="shared" si="1"/>
        <v>84</v>
      </c>
      <c r="B92" s="14">
        <v>382</v>
      </c>
      <c r="C92" s="21" t="s">
        <v>486</v>
      </c>
      <c r="D92" s="21" t="s">
        <v>487</v>
      </c>
      <c r="E92" s="25">
        <v>38157</v>
      </c>
      <c r="F92" s="1">
        <v>101</v>
      </c>
      <c r="G92" s="1">
        <f>VLOOKUP($F92,AF!$B$39:$M$80,G$9)*$E92</f>
        <v>0</v>
      </c>
      <c r="H92" s="1">
        <f>VLOOKUP($F92,AF!$B$39:$M$80,H$9)*$E92</f>
        <v>0</v>
      </c>
      <c r="I92" s="1">
        <f>VLOOKUP($F92,AF!$B$39:$M$80,I$9)*$E92</f>
        <v>0</v>
      </c>
      <c r="J92" s="1">
        <f>VLOOKUP($F92,AF!$B$39:$M$80,J$9)*$E92</f>
        <v>0</v>
      </c>
      <c r="K92" s="1">
        <f>VLOOKUP($F92,AF!$B$39:$M$80,K$9)*$E92</f>
        <v>0</v>
      </c>
      <c r="L92" s="1">
        <f>VLOOKUP($F92,AF!$B$39:$M$80,L$9)*$E92</f>
        <v>0</v>
      </c>
      <c r="M92" s="1">
        <f>VLOOKUP($F92,AF!$B$39:$M$80,M$9)*$E92</f>
        <v>0</v>
      </c>
      <c r="N92" s="1">
        <f>VLOOKUP($F92,AF!$B$39:$M$80,N$9)*$E92</f>
        <v>0</v>
      </c>
      <c r="O92" s="1">
        <f t="shared" si="46"/>
        <v>38157</v>
      </c>
      <c r="Q92" s="8">
        <f t="shared" si="47"/>
        <v>0</v>
      </c>
      <c r="R92" s="8">
        <f t="shared" si="47"/>
        <v>0</v>
      </c>
      <c r="S92" s="17">
        <f t="shared" si="48"/>
        <v>38157</v>
      </c>
      <c r="U92" s="118">
        <v>302</v>
      </c>
      <c r="V92" s="67">
        <f>VLOOKUP($U92,AF!$B$39:$M$80,V$9)*G92</f>
        <v>0</v>
      </c>
      <c r="W92" s="67">
        <f>VLOOKUP($U92,AF!$B$39:$M$80,W$9)*H92</f>
        <v>0</v>
      </c>
      <c r="X92" s="67">
        <f>VLOOKUP($U92,AF!$B$39:$M$80,X$9)*I92</f>
        <v>0</v>
      </c>
      <c r="Y92" s="67">
        <f>VLOOKUP($U92,AF!$B$39:$M$80,Y$9)*J92</f>
        <v>0</v>
      </c>
      <c r="Z92" s="67">
        <f>VLOOKUP($U92,AF!$B$39:$M$80,Z$9)*K92</f>
        <v>0</v>
      </c>
      <c r="AA92" s="67">
        <f>VLOOKUP($U92,AF!$B$39:$M$80,AA$9)*L92</f>
        <v>0</v>
      </c>
      <c r="AB92" s="67">
        <f>VLOOKUP($U92,AF!$B$39:$M$80,AB$9)*M92</f>
        <v>0</v>
      </c>
      <c r="AC92" s="67">
        <f>VLOOKUP($U92,AF!$B$39:$M$80,AC$9)*N92</f>
        <v>0</v>
      </c>
      <c r="AD92" s="67">
        <f t="shared" si="49"/>
        <v>38157</v>
      </c>
      <c r="AF92" s="8">
        <f t="shared" si="50"/>
        <v>0</v>
      </c>
      <c r="AG92" s="8">
        <f t="shared" si="50"/>
        <v>0</v>
      </c>
      <c r="AH92" s="67">
        <f t="shared" si="51"/>
        <v>38157</v>
      </c>
    </row>
    <row r="93" spans="1:34" x14ac:dyDescent="0.45">
      <c r="A93" s="118">
        <f t="shared" si="1"/>
        <v>85</v>
      </c>
      <c r="B93" s="14">
        <v>383</v>
      </c>
      <c r="C93" s="21" t="s">
        <v>488</v>
      </c>
      <c r="D93" s="21" t="s">
        <v>489</v>
      </c>
      <c r="E93" s="25">
        <v>195079</v>
      </c>
      <c r="F93" s="1">
        <v>101</v>
      </c>
      <c r="G93" s="1">
        <f>VLOOKUP($F93,AF!$B$39:$M$80,G$9)*$E93</f>
        <v>0</v>
      </c>
      <c r="H93" s="1">
        <f>VLOOKUP($F93,AF!$B$39:$M$80,H$9)*$E93</f>
        <v>0</v>
      </c>
      <c r="I93" s="1">
        <f>VLOOKUP($F93,AF!$B$39:$M$80,I$9)*$E93</f>
        <v>0</v>
      </c>
      <c r="J93" s="1">
        <f>VLOOKUP($F93,AF!$B$39:$M$80,J$9)*$E93</f>
        <v>0</v>
      </c>
      <c r="K93" s="1">
        <f>VLOOKUP($F93,AF!$B$39:$M$80,K$9)*$E93</f>
        <v>0</v>
      </c>
      <c r="L93" s="1">
        <f>VLOOKUP($F93,AF!$B$39:$M$80,L$9)*$E93</f>
        <v>0</v>
      </c>
      <c r="M93" s="1">
        <f>VLOOKUP($F93,AF!$B$39:$M$80,M$9)*$E93</f>
        <v>0</v>
      </c>
      <c r="N93" s="1">
        <f>VLOOKUP($F93,AF!$B$39:$M$80,N$9)*$E93</f>
        <v>0</v>
      </c>
      <c r="O93" s="1">
        <f t="shared" si="46"/>
        <v>195079</v>
      </c>
      <c r="Q93" s="8">
        <f t="shared" si="47"/>
        <v>0</v>
      </c>
      <c r="R93" s="8">
        <f t="shared" si="47"/>
        <v>0</v>
      </c>
      <c r="S93" s="17">
        <f t="shared" si="48"/>
        <v>195079</v>
      </c>
      <c r="U93" s="118">
        <v>302</v>
      </c>
      <c r="V93" s="67">
        <f>VLOOKUP($U93,AF!$B$39:$M$80,V$9)*G93</f>
        <v>0</v>
      </c>
      <c r="W93" s="67">
        <f>VLOOKUP($U93,AF!$B$39:$M$80,W$9)*H93</f>
        <v>0</v>
      </c>
      <c r="X93" s="67">
        <f>VLOOKUP($U93,AF!$B$39:$M$80,X$9)*I93</f>
        <v>0</v>
      </c>
      <c r="Y93" s="67">
        <f>VLOOKUP($U93,AF!$B$39:$M$80,Y$9)*J93</f>
        <v>0</v>
      </c>
      <c r="Z93" s="67">
        <f>VLOOKUP($U93,AF!$B$39:$M$80,Z$9)*K93</f>
        <v>0</v>
      </c>
      <c r="AA93" s="67">
        <f>VLOOKUP($U93,AF!$B$39:$M$80,AA$9)*L93</f>
        <v>0</v>
      </c>
      <c r="AB93" s="67">
        <f>VLOOKUP($U93,AF!$B$39:$M$80,AB$9)*M93</f>
        <v>0</v>
      </c>
      <c r="AC93" s="67">
        <f>VLOOKUP($U93,AF!$B$39:$M$80,AC$9)*N93</f>
        <v>0</v>
      </c>
      <c r="AD93" s="67">
        <f t="shared" si="49"/>
        <v>195079</v>
      </c>
      <c r="AF93" s="8">
        <f t="shared" si="50"/>
        <v>0</v>
      </c>
      <c r="AG93" s="8">
        <f t="shared" si="50"/>
        <v>0</v>
      </c>
      <c r="AH93" s="67">
        <f t="shared" si="51"/>
        <v>195079</v>
      </c>
    </row>
    <row r="94" spans="1:34" x14ac:dyDescent="0.45">
      <c r="A94" s="118">
        <f t="shared" si="1"/>
        <v>86</v>
      </c>
      <c r="B94" s="14">
        <v>384</v>
      </c>
      <c r="C94" s="21" t="s">
        <v>88</v>
      </c>
      <c r="D94" s="21" t="s">
        <v>490</v>
      </c>
      <c r="E94" s="25">
        <v>0</v>
      </c>
      <c r="F94" s="1">
        <v>101</v>
      </c>
      <c r="G94" s="1">
        <f>VLOOKUP($F94,AF!$B$39:$M$80,G$9)*$E94</f>
        <v>0</v>
      </c>
      <c r="H94" s="1">
        <f>VLOOKUP($F94,AF!$B$39:$M$80,H$9)*$E94</f>
        <v>0</v>
      </c>
      <c r="I94" s="1">
        <f>VLOOKUP($F94,AF!$B$39:$M$80,I$9)*$E94</f>
        <v>0</v>
      </c>
      <c r="J94" s="1">
        <f>VLOOKUP($F94,AF!$B$39:$M$80,J$9)*$E94</f>
        <v>0</v>
      </c>
      <c r="K94" s="1">
        <f>VLOOKUP($F94,AF!$B$39:$M$80,K$9)*$E94</f>
        <v>0</v>
      </c>
      <c r="L94" s="1">
        <f>VLOOKUP($F94,AF!$B$39:$M$80,L$9)*$E94</f>
        <v>0</v>
      </c>
      <c r="M94" s="1">
        <f>VLOOKUP($F94,AF!$B$39:$M$80,M$9)*$E94</f>
        <v>0</v>
      </c>
      <c r="N94" s="1">
        <f>VLOOKUP($F94,AF!$B$39:$M$80,N$9)*$E94</f>
        <v>0</v>
      </c>
      <c r="O94" s="1">
        <f t="shared" si="46"/>
        <v>0</v>
      </c>
      <c r="Q94" s="8">
        <f t="shared" si="47"/>
        <v>0</v>
      </c>
      <c r="R94" s="8">
        <f t="shared" si="47"/>
        <v>0</v>
      </c>
      <c r="S94" s="17">
        <f t="shared" si="48"/>
        <v>0</v>
      </c>
      <c r="U94" s="118">
        <v>302</v>
      </c>
      <c r="V94" s="67">
        <f>VLOOKUP($U94,AF!$B$39:$M$80,V$9)*G94</f>
        <v>0</v>
      </c>
      <c r="W94" s="67">
        <f>VLOOKUP($U94,AF!$B$39:$M$80,W$9)*H94</f>
        <v>0</v>
      </c>
      <c r="X94" s="67">
        <f>VLOOKUP($U94,AF!$B$39:$M$80,X$9)*I94</f>
        <v>0</v>
      </c>
      <c r="Y94" s="67">
        <f>VLOOKUP($U94,AF!$B$39:$M$80,Y$9)*J94</f>
        <v>0</v>
      </c>
      <c r="Z94" s="67">
        <f>VLOOKUP($U94,AF!$B$39:$M$80,Z$9)*K94</f>
        <v>0</v>
      </c>
      <c r="AA94" s="67">
        <f>VLOOKUP($U94,AF!$B$39:$M$80,AA$9)*L94</f>
        <v>0</v>
      </c>
      <c r="AB94" s="67">
        <f>VLOOKUP($U94,AF!$B$39:$M$80,AB$9)*M94</f>
        <v>0</v>
      </c>
      <c r="AC94" s="67">
        <f>VLOOKUP($U94,AF!$B$39:$M$80,AC$9)*N94</f>
        <v>0</v>
      </c>
      <c r="AD94" s="67">
        <f t="shared" si="49"/>
        <v>0</v>
      </c>
      <c r="AF94" s="8">
        <f t="shared" si="50"/>
        <v>0</v>
      </c>
      <c r="AG94" s="8">
        <f t="shared" si="50"/>
        <v>0</v>
      </c>
      <c r="AH94" s="67">
        <f t="shared" si="51"/>
        <v>0</v>
      </c>
    </row>
    <row r="95" spans="1:34" x14ac:dyDescent="0.45">
      <c r="A95" s="118">
        <f t="shared" ref="A95:A141" si="52">+A94+1</f>
        <v>87</v>
      </c>
      <c r="B95" s="14">
        <v>385</v>
      </c>
      <c r="C95" s="21" t="s">
        <v>491</v>
      </c>
      <c r="D95" s="21" t="s">
        <v>492</v>
      </c>
      <c r="E95" s="25">
        <v>0</v>
      </c>
      <c r="F95" s="1">
        <v>101</v>
      </c>
      <c r="G95" s="1">
        <f>VLOOKUP($F95,AF!$B$39:$M$80,G$9)*$E95</f>
        <v>0</v>
      </c>
      <c r="H95" s="1">
        <f>VLOOKUP($F95,AF!$B$39:$M$80,H$9)*$E95</f>
        <v>0</v>
      </c>
      <c r="I95" s="1">
        <f>VLOOKUP($F95,AF!$B$39:$M$80,I$9)*$E95</f>
        <v>0</v>
      </c>
      <c r="J95" s="1">
        <f>VLOOKUP($F95,AF!$B$39:$M$80,J$9)*$E95</f>
        <v>0</v>
      </c>
      <c r="K95" s="1">
        <f>VLOOKUP($F95,AF!$B$39:$M$80,K$9)*$E95</f>
        <v>0</v>
      </c>
      <c r="L95" s="1">
        <f>VLOOKUP($F95,AF!$B$39:$M$80,L$9)*$E95</f>
        <v>0</v>
      </c>
      <c r="M95" s="1">
        <f>VLOOKUP($F95,AF!$B$39:$M$80,M$9)*$E95</f>
        <v>0</v>
      </c>
      <c r="N95" s="1">
        <f>VLOOKUP($F95,AF!$B$39:$M$80,N$9)*$E95</f>
        <v>0</v>
      </c>
      <c r="O95" s="1">
        <f t="shared" si="46"/>
        <v>0</v>
      </c>
      <c r="Q95" s="8">
        <f t="shared" si="47"/>
        <v>0</v>
      </c>
      <c r="R95" s="8">
        <f t="shared" si="47"/>
        <v>0</v>
      </c>
      <c r="S95" s="17">
        <f t="shared" si="48"/>
        <v>0</v>
      </c>
      <c r="U95" s="118">
        <v>302</v>
      </c>
      <c r="V95" s="67">
        <f>VLOOKUP($U95,AF!$B$39:$M$80,V$9)*G95</f>
        <v>0</v>
      </c>
      <c r="W95" s="67">
        <f>VLOOKUP($U95,AF!$B$39:$M$80,W$9)*H95</f>
        <v>0</v>
      </c>
      <c r="X95" s="67">
        <f>VLOOKUP($U95,AF!$B$39:$M$80,X$9)*I95</f>
        <v>0</v>
      </c>
      <c r="Y95" s="67">
        <f>VLOOKUP($U95,AF!$B$39:$M$80,Y$9)*J95</f>
        <v>0</v>
      </c>
      <c r="Z95" s="67">
        <f>VLOOKUP($U95,AF!$B$39:$M$80,Z$9)*K95</f>
        <v>0</v>
      </c>
      <c r="AA95" s="67">
        <f>VLOOKUP($U95,AF!$B$39:$M$80,AA$9)*L95</f>
        <v>0</v>
      </c>
      <c r="AB95" s="67">
        <f>VLOOKUP($U95,AF!$B$39:$M$80,AB$9)*M95</f>
        <v>0</v>
      </c>
      <c r="AC95" s="67">
        <f>VLOOKUP($U95,AF!$B$39:$M$80,AC$9)*N95</f>
        <v>0</v>
      </c>
      <c r="AD95" s="67">
        <f t="shared" si="49"/>
        <v>0</v>
      </c>
      <c r="AF95" s="8">
        <f t="shared" si="50"/>
        <v>0</v>
      </c>
      <c r="AG95" s="8">
        <f t="shared" si="50"/>
        <v>0</v>
      </c>
      <c r="AH95" s="67">
        <f t="shared" si="51"/>
        <v>0</v>
      </c>
    </row>
    <row r="96" spans="1:34" x14ac:dyDescent="0.45">
      <c r="A96" s="118">
        <f t="shared" si="52"/>
        <v>88</v>
      </c>
      <c r="B96" s="14">
        <v>386</v>
      </c>
      <c r="C96" s="21" t="s">
        <v>493</v>
      </c>
      <c r="D96" s="21" t="s">
        <v>494</v>
      </c>
      <c r="E96" s="25">
        <v>0</v>
      </c>
      <c r="F96" s="1">
        <v>101</v>
      </c>
      <c r="G96" s="1">
        <f>VLOOKUP($F96,AF!$B$39:$M$80,G$9)*$E96</f>
        <v>0</v>
      </c>
      <c r="H96" s="1">
        <f>VLOOKUP($F96,AF!$B$39:$M$80,H$9)*$E96</f>
        <v>0</v>
      </c>
      <c r="I96" s="1">
        <f>VLOOKUP($F96,AF!$B$39:$M$80,I$9)*$E96</f>
        <v>0</v>
      </c>
      <c r="J96" s="1">
        <f>VLOOKUP($F96,AF!$B$39:$M$80,J$9)*$E96</f>
        <v>0</v>
      </c>
      <c r="K96" s="1">
        <f>VLOOKUP($F96,AF!$B$39:$M$80,K$9)*$E96</f>
        <v>0</v>
      </c>
      <c r="L96" s="1">
        <f>VLOOKUP($F96,AF!$B$39:$M$80,L$9)*$E96</f>
        <v>0</v>
      </c>
      <c r="M96" s="1">
        <f>VLOOKUP($F96,AF!$B$39:$M$80,M$9)*$E96</f>
        <v>0</v>
      </c>
      <c r="N96" s="1">
        <f>VLOOKUP($F96,AF!$B$39:$M$80,N$9)*$E96</f>
        <v>0</v>
      </c>
      <c r="O96" s="1">
        <f t="shared" si="46"/>
        <v>0</v>
      </c>
      <c r="Q96" s="8">
        <f t="shared" si="47"/>
        <v>0</v>
      </c>
      <c r="R96" s="8">
        <f t="shared" si="47"/>
        <v>0</v>
      </c>
      <c r="S96" s="17">
        <f t="shared" si="48"/>
        <v>0</v>
      </c>
      <c r="U96" s="118">
        <v>302</v>
      </c>
      <c r="V96" s="67">
        <f>VLOOKUP($U96,AF!$B$39:$M$80,V$9)*G96</f>
        <v>0</v>
      </c>
      <c r="W96" s="67">
        <f>VLOOKUP($U96,AF!$B$39:$M$80,W$9)*H96</f>
        <v>0</v>
      </c>
      <c r="X96" s="67">
        <f>VLOOKUP($U96,AF!$B$39:$M$80,X$9)*I96</f>
        <v>0</v>
      </c>
      <c r="Y96" s="67">
        <f>VLOOKUP($U96,AF!$B$39:$M$80,Y$9)*J96</f>
        <v>0</v>
      </c>
      <c r="Z96" s="67">
        <f>VLOOKUP($U96,AF!$B$39:$M$80,Z$9)*K96</f>
        <v>0</v>
      </c>
      <c r="AA96" s="67">
        <f>VLOOKUP($U96,AF!$B$39:$M$80,AA$9)*L96</f>
        <v>0</v>
      </c>
      <c r="AB96" s="67">
        <f>VLOOKUP($U96,AF!$B$39:$M$80,AB$9)*M96</f>
        <v>0</v>
      </c>
      <c r="AC96" s="67">
        <f>VLOOKUP($U96,AF!$B$39:$M$80,AC$9)*N96</f>
        <v>0</v>
      </c>
      <c r="AD96" s="67">
        <f t="shared" si="49"/>
        <v>0</v>
      </c>
      <c r="AF96" s="8">
        <f t="shared" si="50"/>
        <v>0</v>
      </c>
      <c r="AG96" s="8">
        <f t="shared" si="50"/>
        <v>0</v>
      </c>
      <c r="AH96" s="67">
        <f t="shared" si="51"/>
        <v>0</v>
      </c>
    </row>
    <row r="97" spans="1:34" x14ac:dyDescent="0.45">
      <c r="A97" s="118">
        <f t="shared" si="52"/>
        <v>89</v>
      </c>
      <c r="C97" s="21" t="s">
        <v>0</v>
      </c>
      <c r="E97" s="32">
        <f>SUM(E90:E96)</f>
        <v>233236</v>
      </c>
      <c r="F97" s="1"/>
      <c r="G97" s="32">
        <f t="shared" ref="G97:H97" si="53">SUM(G90:G96)</f>
        <v>0</v>
      </c>
      <c r="H97" s="32">
        <f t="shared" si="53"/>
        <v>0</v>
      </c>
      <c r="I97" s="32">
        <f t="shared" ref="I97:J97" si="54">SUM(I90:I96)</f>
        <v>0</v>
      </c>
      <c r="J97" s="32">
        <f t="shared" si="54"/>
        <v>0</v>
      </c>
      <c r="K97" s="32">
        <f t="shared" ref="K97:L97" si="55">SUM(K90:K96)</f>
        <v>0</v>
      </c>
      <c r="L97" s="32">
        <f t="shared" si="55"/>
        <v>0</v>
      </c>
      <c r="M97" s="32">
        <f t="shared" ref="M97:N97" si="56">SUM(M90:M96)</f>
        <v>0</v>
      </c>
      <c r="N97" s="32">
        <f t="shared" si="56"/>
        <v>0</v>
      </c>
      <c r="O97" s="32">
        <f t="shared" ref="O97" si="57">SUM(O90:O96)</f>
        <v>233236</v>
      </c>
      <c r="Q97" s="61">
        <f t="shared" ref="Q97:R97" si="58">SUM(Q90:Q96)</f>
        <v>0</v>
      </c>
      <c r="R97" s="61">
        <f t="shared" si="58"/>
        <v>0</v>
      </c>
      <c r="S97" s="32">
        <f>SUM(S90:S96)</f>
        <v>233236</v>
      </c>
      <c r="U97" s="118"/>
      <c r="V97" s="32">
        <f t="shared" ref="V97:W97" si="59">SUM(V90:V96)</f>
        <v>0</v>
      </c>
      <c r="W97" s="32">
        <f t="shared" si="59"/>
        <v>0</v>
      </c>
      <c r="X97" s="32">
        <f t="shared" ref="X97:Y97" si="60">SUM(X90:X96)</f>
        <v>0</v>
      </c>
      <c r="Y97" s="32">
        <f t="shared" si="60"/>
        <v>0</v>
      </c>
      <c r="Z97" s="32">
        <f t="shared" ref="Z97:AD97" si="61">SUM(Z90:Z96)</f>
        <v>0</v>
      </c>
      <c r="AA97" s="32">
        <f t="shared" si="61"/>
        <v>0</v>
      </c>
      <c r="AB97" s="32">
        <f t="shared" si="61"/>
        <v>0</v>
      </c>
      <c r="AC97" s="32">
        <f t="shared" si="61"/>
        <v>0</v>
      </c>
      <c r="AD97" s="32">
        <f t="shared" si="61"/>
        <v>233236</v>
      </c>
      <c r="AF97" s="61">
        <f t="shared" ref="AF97:AH97" si="62">SUM(AF90:AF96)</f>
        <v>0</v>
      </c>
      <c r="AG97" s="61">
        <f t="shared" si="62"/>
        <v>0</v>
      </c>
      <c r="AH97" s="32">
        <f t="shared" si="62"/>
        <v>233236</v>
      </c>
    </row>
    <row r="98" spans="1:34" x14ac:dyDescent="0.45">
      <c r="A98" s="118">
        <f t="shared" si="52"/>
        <v>90</v>
      </c>
      <c r="G98" s="118"/>
      <c r="I98" s="118"/>
      <c r="K98" s="118"/>
      <c r="M98" s="118"/>
      <c r="O98" s="118"/>
      <c r="Q98" s="74"/>
      <c r="R98" s="73"/>
      <c r="U98" s="118"/>
      <c r="AF98" s="74"/>
      <c r="AG98" s="73"/>
    </row>
    <row r="99" spans="1:34" x14ac:dyDescent="0.45">
      <c r="A99" s="118">
        <f t="shared" si="52"/>
        <v>91</v>
      </c>
      <c r="B99" s="66" t="s">
        <v>85</v>
      </c>
      <c r="C99" s="66"/>
      <c r="G99" s="118"/>
      <c r="I99" s="118"/>
      <c r="K99" s="118"/>
      <c r="M99" s="118"/>
      <c r="O99" s="118"/>
      <c r="Q99" s="74"/>
      <c r="R99" s="73"/>
      <c r="U99" s="118"/>
      <c r="AF99" s="74"/>
      <c r="AG99" s="73"/>
    </row>
    <row r="100" spans="1:34" x14ac:dyDescent="0.45">
      <c r="A100" s="118">
        <f t="shared" si="52"/>
        <v>92</v>
      </c>
      <c r="B100" s="78">
        <v>389</v>
      </c>
      <c r="C100" s="2" t="s">
        <v>28</v>
      </c>
      <c r="D100" s="21" t="s">
        <v>495</v>
      </c>
      <c r="E100" s="20">
        <v>0</v>
      </c>
      <c r="F100" s="1">
        <v>107</v>
      </c>
      <c r="G100" s="1">
        <f>VLOOKUP($F100,AF!$B$39:$M$80,G$9)*$E100</f>
        <v>0</v>
      </c>
      <c r="H100" s="1">
        <f>VLOOKUP($F100,AF!$B$39:$M$80,H$9)*$E100</f>
        <v>0</v>
      </c>
      <c r="I100" s="1">
        <f>VLOOKUP($F100,AF!$B$39:$M$80,I$9)*$E100</f>
        <v>0</v>
      </c>
      <c r="J100" s="1">
        <f>VLOOKUP($F100,AF!$B$39:$M$80,J$9)*$E100</f>
        <v>0</v>
      </c>
      <c r="K100" s="1">
        <f>VLOOKUP($F100,AF!$B$39:$M$80,K$9)*$E100</f>
        <v>0</v>
      </c>
      <c r="L100" s="1">
        <f>VLOOKUP($F100,AF!$B$39:$M$80,L$9)*$E100</f>
        <v>0</v>
      </c>
      <c r="M100" s="1">
        <f>VLOOKUP($F100,AF!$B$39:$M$80,M$9)*$E100</f>
        <v>0</v>
      </c>
      <c r="N100" s="1">
        <f>VLOOKUP($F100,AF!$B$39:$M$80,N$9)*$E100</f>
        <v>0</v>
      </c>
      <c r="O100" s="1">
        <f t="shared" ref="O100:O111" si="63">E100-SUM(G100:N100)</f>
        <v>0</v>
      </c>
      <c r="Q100" s="8">
        <f t="shared" ref="Q100:Q111" si="64">+M100+K100+I100+G100</f>
        <v>0</v>
      </c>
      <c r="R100" s="8">
        <f t="shared" ref="R100:R111" si="65">+N100+L100+J100+H100</f>
        <v>0</v>
      </c>
      <c r="S100" s="17">
        <f t="shared" ref="S100:S111" si="66">Q100+R100+O100</f>
        <v>0</v>
      </c>
      <c r="U100" s="118">
        <v>305</v>
      </c>
      <c r="V100" s="67">
        <f ca="1">VLOOKUP($U100,AF!$B$39:$M$80,V$9)*G100</f>
        <v>0</v>
      </c>
      <c r="W100" s="67">
        <f ca="1">VLOOKUP($U100,AF!$B$39:$M$80,W$9)*H100</f>
        <v>0</v>
      </c>
      <c r="X100" s="67">
        <f ca="1">VLOOKUP($U100,AF!$B$39:$M$80,X$9)*I100</f>
        <v>0</v>
      </c>
      <c r="Y100" s="67">
        <f ca="1">VLOOKUP($U100,AF!$B$39:$M$80,Y$9)*J100</f>
        <v>0</v>
      </c>
      <c r="Z100" s="67">
        <f ca="1">VLOOKUP($U100,AF!$B$39:$M$80,Z$9)*K100</f>
        <v>0</v>
      </c>
      <c r="AA100" s="67">
        <f ca="1">VLOOKUP($U100,AF!$B$39:$M$80,AA$9)*L100</f>
        <v>0</v>
      </c>
      <c r="AB100" s="67">
        <f ca="1">VLOOKUP($U100,AF!$B$39:$M$80,AB$9)*M100</f>
        <v>0</v>
      </c>
      <c r="AC100" s="67">
        <f ca="1">VLOOKUP($U100,AF!$B$39:$M$80,AC$9)*N100</f>
        <v>0</v>
      </c>
      <c r="AD100" s="67">
        <f t="shared" ref="AD100:AD111" ca="1" si="67">E100-SUM(V100:AC100)</f>
        <v>0</v>
      </c>
      <c r="AF100" s="8">
        <f t="shared" ref="AF100:AF111" ca="1" si="68">+AB100+Z100+X100+V100</f>
        <v>0</v>
      </c>
      <c r="AG100" s="8">
        <f t="shared" ref="AG100:AG111" ca="1" si="69">+AC100+AA100+Y100+W100</f>
        <v>0</v>
      </c>
      <c r="AH100" s="67">
        <f t="shared" ref="AH100:AH111" ca="1" si="70">+AF100+AG100+AD100</f>
        <v>0</v>
      </c>
    </row>
    <row r="101" spans="1:34" x14ac:dyDescent="0.45">
      <c r="A101" s="118">
        <f t="shared" si="52"/>
        <v>93</v>
      </c>
      <c r="B101" s="14">
        <v>390</v>
      </c>
      <c r="C101" s="21" t="s">
        <v>29</v>
      </c>
      <c r="D101" s="21" t="s">
        <v>90</v>
      </c>
      <c r="E101" s="20">
        <v>201503</v>
      </c>
      <c r="F101" s="1">
        <v>107</v>
      </c>
      <c r="G101" s="1">
        <f>VLOOKUP($F101,AF!$B$39:$M$80,G$9)*$E101</f>
        <v>153.48068029819271</v>
      </c>
      <c r="H101" s="1">
        <f>VLOOKUP($F101,AF!$B$39:$M$80,H$9)*$E101</f>
        <v>767.40340149096369</v>
      </c>
      <c r="I101" s="1">
        <f>VLOOKUP($F101,AF!$B$39:$M$80,I$9)*$E101</f>
        <v>767.40340149096369</v>
      </c>
      <c r="J101" s="1">
        <f>VLOOKUP($F101,AF!$B$39:$M$80,J$9)*$E101</f>
        <v>0</v>
      </c>
      <c r="K101" s="1">
        <f>VLOOKUP($F101,AF!$B$39:$M$80,K$9)*$E101</f>
        <v>2609.1715650692763</v>
      </c>
      <c r="L101" s="1">
        <f>VLOOKUP($F101,AF!$B$39:$M$80,L$9)*$E101</f>
        <v>0</v>
      </c>
      <c r="M101" s="1">
        <f>VLOOKUP($F101,AF!$B$39:$M$80,M$9)*$E101</f>
        <v>0</v>
      </c>
      <c r="N101" s="1">
        <f>VLOOKUP($F101,AF!$B$39:$M$80,N$9)*$E101</f>
        <v>0</v>
      </c>
      <c r="O101" s="1">
        <f t="shared" si="63"/>
        <v>197205.54095165059</v>
      </c>
      <c r="Q101" s="8">
        <f t="shared" si="64"/>
        <v>3530.0556468584323</v>
      </c>
      <c r="R101" s="8">
        <f t="shared" si="65"/>
        <v>767.40340149096369</v>
      </c>
      <c r="S101" s="17">
        <f t="shared" si="66"/>
        <v>201503</v>
      </c>
      <c r="U101" s="118">
        <v>305</v>
      </c>
      <c r="V101" s="67">
        <f ca="1">VLOOKUP($U101,AF!$B$39:$M$80,V$9)*G101</f>
        <v>120.65717195504851</v>
      </c>
      <c r="W101" s="67">
        <f ca="1">VLOOKUP($U101,AF!$B$39:$M$80,W$9)*H101</f>
        <v>214.22712544958671</v>
      </c>
      <c r="X101" s="67">
        <f ca="1">VLOOKUP($U101,AF!$B$39:$M$80,X$9)*I101</f>
        <v>469.80634754287001</v>
      </c>
      <c r="Y101" s="67">
        <f ca="1">VLOOKUP($U101,AF!$B$39:$M$80,Y$9)*J101</f>
        <v>0</v>
      </c>
      <c r="Z101" s="67">
        <f ca="1">VLOOKUP($U101,AF!$B$39:$M$80,Z$9)*K101</f>
        <v>806.32787835559873</v>
      </c>
      <c r="AA101" s="67">
        <f ca="1">VLOOKUP($U101,AF!$B$39:$M$80,AA$9)*L101</f>
        <v>0</v>
      </c>
      <c r="AB101" s="67">
        <f ca="1">VLOOKUP($U101,AF!$B$39:$M$80,AB$9)*M101</f>
        <v>0</v>
      </c>
      <c r="AC101" s="67">
        <f ca="1">VLOOKUP($U101,AF!$B$39:$M$80,AC$9)*N101</f>
        <v>0</v>
      </c>
      <c r="AD101" s="67">
        <f t="shared" ca="1" si="67"/>
        <v>199891.98147669691</v>
      </c>
      <c r="AF101" s="8">
        <f t="shared" ca="1" si="68"/>
        <v>1396.7913978535171</v>
      </c>
      <c r="AG101" s="8">
        <f t="shared" ca="1" si="69"/>
        <v>214.22712544958671</v>
      </c>
      <c r="AH101" s="67">
        <f t="shared" ca="1" si="70"/>
        <v>201503</v>
      </c>
    </row>
    <row r="102" spans="1:34" x14ac:dyDescent="0.45">
      <c r="A102" s="118">
        <f t="shared" si="52"/>
        <v>94</v>
      </c>
      <c r="B102" s="14">
        <v>391</v>
      </c>
      <c r="C102" s="21" t="s">
        <v>86</v>
      </c>
      <c r="D102" s="21" t="s">
        <v>91</v>
      </c>
      <c r="E102" s="20">
        <v>17481461</v>
      </c>
      <c r="F102" s="1">
        <v>107</v>
      </c>
      <c r="G102" s="1">
        <f>VLOOKUP($F102,AF!$B$39:$M$80,G$9)*$E102</f>
        <v>13315.268392462267</v>
      </c>
      <c r="H102" s="1">
        <f>VLOOKUP($F102,AF!$B$39:$M$80,H$9)*$E102</f>
        <v>66576.341962311344</v>
      </c>
      <c r="I102" s="1">
        <f>VLOOKUP($F102,AF!$B$39:$M$80,I$9)*$E102</f>
        <v>66576.341962311344</v>
      </c>
      <c r="J102" s="1">
        <f>VLOOKUP($F102,AF!$B$39:$M$80,J$9)*$E102</f>
        <v>0</v>
      </c>
      <c r="K102" s="1">
        <f>VLOOKUP($F102,AF!$B$39:$M$80,K$9)*$E102</f>
        <v>226359.56267185858</v>
      </c>
      <c r="L102" s="1">
        <f>VLOOKUP($F102,AF!$B$39:$M$80,L$9)*$E102</f>
        <v>0</v>
      </c>
      <c r="M102" s="1">
        <f>VLOOKUP($F102,AF!$B$39:$M$80,M$9)*$E102</f>
        <v>0</v>
      </c>
      <c r="N102" s="1">
        <f>VLOOKUP($F102,AF!$B$39:$M$80,N$9)*$E102</f>
        <v>0</v>
      </c>
      <c r="O102" s="1">
        <f t="shared" si="63"/>
        <v>17108633.485011056</v>
      </c>
      <c r="Q102" s="8">
        <f t="shared" si="64"/>
        <v>306251.17302663223</v>
      </c>
      <c r="R102" s="8">
        <f t="shared" si="65"/>
        <v>66576.341962311344</v>
      </c>
      <c r="S102" s="17">
        <f t="shared" si="66"/>
        <v>17481461</v>
      </c>
      <c r="U102" s="118">
        <v>305</v>
      </c>
      <c r="V102" s="67">
        <f ca="1">VLOOKUP($U102,AF!$B$39:$M$80,V$9)*G102</f>
        <v>10467.653811121791</v>
      </c>
      <c r="W102" s="67">
        <f ca="1">VLOOKUP($U102,AF!$B$39:$M$80,W$9)*H102</f>
        <v>18585.346812151965</v>
      </c>
      <c r="X102" s="67">
        <f ca="1">VLOOKUP($U102,AF!$B$39:$M$80,X$9)*I102</f>
        <v>40758.208771696336</v>
      </c>
      <c r="Y102" s="67">
        <f ca="1">VLOOKUP($U102,AF!$B$39:$M$80,Y$9)*J102</f>
        <v>0</v>
      </c>
      <c r="Z102" s="67">
        <f ca="1">VLOOKUP($U102,AF!$B$39:$M$80,Z$9)*K102</f>
        <v>69953.248133705929</v>
      </c>
      <c r="AA102" s="67">
        <f ca="1">VLOOKUP($U102,AF!$B$39:$M$80,AA$9)*L102</f>
        <v>0</v>
      </c>
      <c r="AB102" s="67">
        <f ca="1">VLOOKUP($U102,AF!$B$39:$M$80,AB$9)*M102</f>
        <v>0</v>
      </c>
      <c r="AC102" s="67">
        <f ca="1">VLOOKUP($U102,AF!$B$39:$M$80,AC$9)*N102</f>
        <v>0</v>
      </c>
      <c r="AD102" s="67">
        <f t="shared" ca="1" si="67"/>
        <v>17341696.542471323</v>
      </c>
      <c r="AF102" s="8">
        <f t="shared" ca="1" si="68"/>
        <v>121179.11071652407</v>
      </c>
      <c r="AG102" s="8">
        <f t="shared" ca="1" si="69"/>
        <v>18585.346812151965</v>
      </c>
      <c r="AH102" s="67">
        <f t="shared" ca="1" si="70"/>
        <v>17481461</v>
      </c>
    </row>
    <row r="103" spans="1:34" x14ac:dyDescent="0.45">
      <c r="A103" s="118">
        <f t="shared" si="52"/>
        <v>95</v>
      </c>
      <c r="B103" s="14">
        <v>392</v>
      </c>
      <c r="C103" s="21" t="s">
        <v>87</v>
      </c>
      <c r="D103" s="21" t="s">
        <v>92</v>
      </c>
      <c r="E103" s="20">
        <v>478479</v>
      </c>
      <c r="F103" s="1">
        <v>107</v>
      </c>
      <c r="G103" s="1">
        <f>VLOOKUP($F103,AF!$B$39:$M$80,G$9)*$E103</f>
        <v>364.4475885143097</v>
      </c>
      <c r="H103" s="1">
        <f>VLOOKUP($F103,AF!$B$39:$M$80,H$9)*$E103</f>
        <v>1822.2379425715487</v>
      </c>
      <c r="I103" s="1">
        <f>VLOOKUP($F103,AF!$B$39:$M$80,I$9)*$E103</f>
        <v>1822.2379425715487</v>
      </c>
      <c r="J103" s="1">
        <f>VLOOKUP($F103,AF!$B$39:$M$80,J$9)*$E103</f>
        <v>0</v>
      </c>
      <c r="K103" s="1">
        <f>VLOOKUP($F103,AF!$B$39:$M$80,K$9)*$E103</f>
        <v>6195.6090047432663</v>
      </c>
      <c r="L103" s="1">
        <f>VLOOKUP($F103,AF!$B$39:$M$80,L$9)*$E103</f>
        <v>0</v>
      </c>
      <c r="M103" s="1">
        <f>VLOOKUP($F103,AF!$B$39:$M$80,M$9)*$E103</f>
        <v>0</v>
      </c>
      <c r="N103" s="1">
        <f>VLOOKUP($F103,AF!$B$39:$M$80,N$9)*$E103</f>
        <v>0</v>
      </c>
      <c r="O103" s="1">
        <f t="shared" si="63"/>
        <v>468274.46752159932</v>
      </c>
      <c r="Q103" s="8">
        <f t="shared" si="64"/>
        <v>8382.2945358291254</v>
      </c>
      <c r="R103" s="8">
        <f t="shared" si="65"/>
        <v>1822.2379425715487</v>
      </c>
      <c r="S103" s="17">
        <f t="shared" si="66"/>
        <v>478479</v>
      </c>
      <c r="U103" s="118">
        <v>305</v>
      </c>
      <c r="V103" s="67">
        <f ca="1">VLOOKUP($U103,AF!$B$39:$M$80,V$9)*G103</f>
        <v>286.50651841352067</v>
      </c>
      <c r="W103" s="67">
        <f ca="1">VLOOKUP($U103,AF!$B$39:$M$80,W$9)*H103</f>
        <v>508.69307532886751</v>
      </c>
      <c r="X103" s="67">
        <f ca="1">VLOOKUP($U103,AF!$B$39:$M$80,X$9)*I103</f>
        <v>1115.5787822809828</v>
      </c>
      <c r="Y103" s="67">
        <f ca="1">VLOOKUP($U103,AF!$B$39:$M$80,Y$9)*J103</f>
        <v>0</v>
      </c>
      <c r="Z103" s="67">
        <f ca="1">VLOOKUP($U103,AF!$B$39:$M$80,Z$9)*K103</f>
        <v>1914.666069029784</v>
      </c>
      <c r="AA103" s="67">
        <f ca="1">VLOOKUP($U103,AF!$B$39:$M$80,AA$9)*L103</f>
        <v>0</v>
      </c>
      <c r="AB103" s="67">
        <f ca="1">VLOOKUP($U103,AF!$B$39:$M$80,AB$9)*M103</f>
        <v>0</v>
      </c>
      <c r="AC103" s="67">
        <f ca="1">VLOOKUP($U103,AF!$B$39:$M$80,AC$9)*N103</f>
        <v>0</v>
      </c>
      <c r="AD103" s="67">
        <f t="shared" ca="1" si="67"/>
        <v>474653.55555494683</v>
      </c>
      <c r="AF103" s="8">
        <f t="shared" ca="1" si="68"/>
        <v>3316.7513697242871</v>
      </c>
      <c r="AG103" s="8">
        <f t="shared" ca="1" si="69"/>
        <v>508.69307532886751</v>
      </c>
      <c r="AH103" s="67">
        <f t="shared" ca="1" si="70"/>
        <v>478479</v>
      </c>
    </row>
    <row r="104" spans="1:34" x14ac:dyDescent="0.45">
      <c r="A104" s="118">
        <f t="shared" si="52"/>
        <v>96</v>
      </c>
      <c r="B104" s="14">
        <v>393</v>
      </c>
      <c r="C104" s="21" t="s">
        <v>496</v>
      </c>
      <c r="D104" s="21" t="s">
        <v>497</v>
      </c>
      <c r="E104" s="20">
        <v>23099</v>
      </c>
      <c r="F104" s="1">
        <v>107</v>
      </c>
      <c r="G104" s="1">
        <f>VLOOKUP($F104,AF!$B$39:$M$80,G$9)*$E104</f>
        <v>17.594032020406413</v>
      </c>
      <c r="H104" s="1">
        <f>VLOOKUP($F104,AF!$B$39:$M$80,H$9)*$E104</f>
        <v>87.970160102032082</v>
      </c>
      <c r="I104" s="1">
        <f>VLOOKUP($F104,AF!$B$39:$M$80,I$9)*$E104</f>
        <v>87.970160102032082</v>
      </c>
      <c r="J104" s="1">
        <f>VLOOKUP($F104,AF!$B$39:$M$80,J$9)*$E104</f>
        <v>0</v>
      </c>
      <c r="K104" s="1">
        <f>VLOOKUP($F104,AF!$B$39:$M$80,K$9)*$E104</f>
        <v>299.09854434690908</v>
      </c>
      <c r="L104" s="1">
        <f>VLOOKUP($F104,AF!$B$39:$M$80,L$9)*$E104</f>
        <v>0</v>
      </c>
      <c r="M104" s="1">
        <f>VLOOKUP($F104,AF!$B$39:$M$80,M$9)*$E104</f>
        <v>0</v>
      </c>
      <c r="N104" s="1">
        <f>VLOOKUP($F104,AF!$B$39:$M$80,N$9)*$E104</f>
        <v>0</v>
      </c>
      <c r="O104" s="1">
        <f t="shared" si="63"/>
        <v>22606.36710342862</v>
      </c>
      <c r="Q104" s="8">
        <f t="shared" si="64"/>
        <v>404.66273646934758</v>
      </c>
      <c r="R104" s="8">
        <f t="shared" si="65"/>
        <v>87.970160102032082</v>
      </c>
      <c r="S104" s="17">
        <f t="shared" si="66"/>
        <v>23099</v>
      </c>
      <c r="U104" s="118">
        <v>305</v>
      </c>
      <c r="V104" s="67">
        <f ca="1">VLOOKUP($U104,AF!$B$39:$M$80,V$9)*G104</f>
        <v>13.831357423907662</v>
      </c>
      <c r="W104" s="67">
        <f ca="1">VLOOKUP($U104,AF!$B$39:$M$80,W$9)*H104</f>
        <v>24.557611404098218</v>
      </c>
      <c r="X104" s="67">
        <f ca="1">VLOOKUP($U104,AF!$B$39:$M$80,X$9)*I104</f>
        <v>53.85555957922589</v>
      </c>
      <c r="Y104" s="67">
        <f ca="1">VLOOKUP($U104,AF!$B$39:$M$80,Y$9)*J104</f>
        <v>0</v>
      </c>
      <c r="Z104" s="67">
        <f ca="1">VLOOKUP($U104,AF!$B$39:$M$80,Z$9)*K104</f>
        <v>92.432210250646278</v>
      </c>
      <c r="AA104" s="67">
        <f ca="1">VLOOKUP($U104,AF!$B$39:$M$80,AA$9)*L104</f>
        <v>0</v>
      </c>
      <c r="AB104" s="67">
        <f ca="1">VLOOKUP($U104,AF!$B$39:$M$80,AB$9)*M104</f>
        <v>0</v>
      </c>
      <c r="AC104" s="67">
        <f ca="1">VLOOKUP($U104,AF!$B$39:$M$80,AC$9)*N104</f>
        <v>0</v>
      </c>
      <c r="AD104" s="67">
        <f t="shared" ca="1" si="67"/>
        <v>22914.323261342121</v>
      </c>
      <c r="AF104" s="8">
        <f t="shared" ca="1" si="68"/>
        <v>160.11912725377982</v>
      </c>
      <c r="AG104" s="8">
        <f t="shared" ca="1" si="69"/>
        <v>24.557611404098218</v>
      </c>
      <c r="AH104" s="67">
        <f t="shared" ca="1" si="70"/>
        <v>23099</v>
      </c>
    </row>
    <row r="105" spans="1:34" x14ac:dyDescent="0.45">
      <c r="A105" s="118">
        <f t="shared" si="52"/>
        <v>97</v>
      </c>
      <c r="B105" s="14">
        <v>394</v>
      </c>
      <c r="C105" s="21" t="s">
        <v>498</v>
      </c>
      <c r="D105" s="21" t="s">
        <v>499</v>
      </c>
      <c r="E105" s="20">
        <v>439467</v>
      </c>
      <c r="F105" s="1">
        <v>107</v>
      </c>
      <c r="G105" s="1">
        <f>VLOOKUP($F105,AF!$B$39:$M$80,G$9)*$E105</f>
        <v>334.73295250495454</v>
      </c>
      <c r="H105" s="1">
        <f>VLOOKUP($F105,AF!$B$39:$M$80,H$9)*$E105</f>
        <v>1673.6647625247731</v>
      </c>
      <c r="I105" s="1">
        <f>VLOOKUP($F105,AF!$B$39:$M$80,I$9)*$E105</f>
        <v>1673.6647625247731</v>
      </c>
      <c r="J105" s="1">
        <f>VLOOKUP($F105,AF!$B$39:$M$80,J$9)*$E105</f>
        <v>0</v>
      </c>
      <c r="K105" s="1">
        <f>VLOOKUP($F105,AF!$B$39:$M$80,K$9)*$E105</f>
        <v>5690.460192584228</v>
      </c>
      <c r="L105" s="1">
        <f>VLOOKUP($F105,AF!$B$39:$M$80,L$9)*$E105</f>
        <v>0</v>
      </c>
      <c r="M105" s="1">
        <f>VLOOKUP($F105,AF!$B$39:$M$80,M$9)*$E105</f>
        <v>0</v>
      </c>
      <c r="N105" s="1">
        <f>VLOOKUP($F105,AF!$B$39:$M$80,N$9)*$E105</f>
        <v>0</v>
      </c>
      <c r="O105" s="1">
        <f t="shared" si="63"/>
        <v>430094.47732986126</v>
      </c>
      <c r="Q105" s="8">
        <f t="shared" si="64"/>
        <v>7698.8579076139558</v>
      </c>
      <c r="R105" s="8">
        <f t="shared" si="65"/>
        <v>1673.6647625247731</v>
      </c>
      <c r="S105" s="17">
        <f t="shared" si="66"/>
        <v>439467</v>
      </c>
      <c r="U105" s="118">
        <v>305</v>
      </c>
      <c r="V105" s="67">
        <f ca="1">VLOOKUP($U105,AF!$B$39:$M$80,V$9)*G105</f>
        <v>263.1466796403493</v>
      </c>
      <c r="W105" s="67">
        <f ca="1">VLOOKUP($U105,AF!$B$39:$M$80,W$9)*H105</f>
        <v>467.21762028333836</v>
      </c>
      <c r="X105" s="67">
        <f ca="1">VLOOKUP($U105,AF!$B$39:$M$80,X$9)*I105</f>
        <v>1024.6218971212461</v>
      </c>
      <c r="Y105" s="67">
        <f ca="1">VLOOKUP($U105,AF!$B$39:$M$80,Y$9)*J105</f>
        <v>0</v>
      </c>
      <c r="Z105" s="67">
        <f ca="1">VLOOKUP($U105,AF!$B$39:$M$80,Z$9)*K105</f>
        <v>1758.5569133824308</v>
      </c>
      <c r="AA105" s="67">
        <f ca="1">VLOOKUP($U105,AF!$B$39:$M$80,AA$9)*L105</f>
        <v>0</v>
      </c>
      <c r="AB105" s="67">
        <f ca="1">VLOOKUP($U105,AF!$B$39:$M$80,AB$9)*M105</f>
        <v>0</v>
      </c>
      <c r="AC105" s="67">
        <f ca="1">VLOOKUP($U105,AF!$B$39:$M$80,AC$9)*N105</f>
        <v>0</v>
      </c>
      <c r="AD105" s="67">
        <f t="shared" ca="1" si="67"/>
        <v>435953.45688957261</v>
      </c>
      <c r="AF105" s="8">
        <f t="shared" ca="1" si="68"/>
        <v>3046.3254901440259</v>
      </c>
      <c r="AG105" s="8">
        <f t="shared" ca="1" si="69"/>
        <v>467.21762028333836</v>
      </c>
      <c r="AH105" s="67">
        <f t="shared" ca="1" si="70"/>
        <v>439467</v>
      </c>
    </row>
    <row r="106" spans="1:34" x14ac:dyDescent="0.45">
      <c r="A106" s="118">
        <f t="shared" si="52"/>
        <v>98</v>
      </c>
      <c r="B106" s="14">
        <v>395</v>
      </c>
      <c r="C106" s="21" t="s">
        <v>500</v>
      </c>
      <c r="D106" s="21" t="s">
        <v>501</v>
      </c>
      <c r="E106" s="20">
        <v>8365</v>
      </c>
      <c r="F106" s="1">
        <v>107</v>
      </c>
      <c r="G106" s="1">
        <f>VLOOKUP($F106,AF!$B$39:$M$80,G$9)*$E106</f>
        <v>6.3714480215896634</v>
      </c>
      <c r="H106" s="1">
        <f>VLOOKUP($F106,AF!$B$39:$M$80,H$9)*$E106</f>
        <v>31.857240107948325</v>
      </c>
      <c r="I106" s="1">
        <f>VLOOKUP($F106,AF!$B$39:$M$80,I$9)*$E106</f>
        <v>31.857240107948325</v>
      </c>
      <c r="J106" s="1">
        <f>VLOOKUP($F106,AF!$B$39:$M$80,J$9)*$E106</f>
        <v>0</v>
      </c>
      <c r="K106" s="1">
        <f>VLOOKUP($F106,AF!$B$39:$M$80,K$9)*$E106</f>
        <v>108.3146163670243</v>
      </c>
      <c r="L106" s="1">
        <f>VLOOKUP($F106,AF!$B$39:$M$80,L$9)*$E106</f>
        <v>0</v>
      </c>
      <c r="M106" s="1">
        <f>VLOOKUP($F106,AF!$B$39:$M$80,M$9)*$E106</f>
        <v>0</v>
      </c>
      <c r="N106" s="1">
        <f>VLOOKUP($F106,AF!$B$39:$M$80,N$9)*$E106</f>
        <v>0</v>
      </c>
      <c r="O106" s="1">
        <f t="shared" si="63"/>
        <v>8186.5994553954897</v>
      </c>
      <c r="Q106" s="8">
        <f t="shared" si="64"/>
        <v>146.54330449656229</v>
      </c>
      <c r="R106" s="8">
        <f t="shared" si="65"/>
        <v>31.857240107948325</v>
      </c>
      <c r="S106" s="17">
        <f t="shared" si="66"/>
        <v>8365</v>
      </c>
      <c r="U106" s="118">
        <v>305</v>
      </c>
      <c r="V106" s="67">
        <f ca="1">VLOOKUP($U106,AF!$B$39:$M$80,V$9)*G106</f>
        <v>5.008844748733174</v>
      </c>
      <c r="W106" s="67">
        <f ca="1">VLOOKUP($U106,AF!$B$39:$M$80,W$9)*H106</f>
        <v>8.8932169962025025</v>
      </c>
      <c r="X106" s="67">
        <f ca="1">VLOOKUP($U106,AF!$B$39:$M$80,X$9)*I106</f>
        <v>19.503084803680878</v>
      </c>
      <c r="Y106" s="67">
        <f ca="1">VLOOKUP($U106,AF!$B$39:$M$80,Y$9)*J106</f>
        <v>0</v>
      </c>
      <c r="Z106" s="67">
        <f ca="1">VLOOKUP($U106,AF!$B$39:$M$80,Z$9)*K106</f>
        <v>33.473113067520501</v>
      </c>
      <c r="AA106" s="67">
        <f ca="1">VLOOKUP($U106,AF!$B$39:$M$80,AA$9)*L106</f>
        <v>0</v>
      </c>
      <c r="AB106" s="67">
        <f ca="1">VLOOKUP($U106,AF!$B$39:$M$80,AB$9)*M106</f>
        <v>0</v>
      </c>
      <c r="AC106" s="67">
        <f ca="1">VLOOKUP($U106,AF!$B$39:$M$80,AC$9)*N106</f>
        <v>0</v>
      </c>
      <c r="AD106" s="67">
        <f t="shared" ca="1" si="67"/>
        <v>8298.1217403838637</v>
      </c>
      <c r="AF106" s="8">
        <f t="shared" ca="1" si="68"/>
        <v>57.985042619934553</v>
      </c>
      <c r="AG106" s="8">
        <f t="shared" ca="1" si="69"/>
        <v>8.8932169962025025</v>
      </c>
      <c r="AH106" s="67">
        <f t="shared" ca="1" si="70"/>
        <v>8365</v>
      </c>
    </row>
    <row r="107" spans="1:34" x14ac:dyDescent="0.45">
      <c r="A107" s="118">
        <f t="shared" si="52"/>
        <v>99</v>
      </c>
      <c r="B107" s="14">
        <v>396</v>
      </c>
      <c r="C107" s="21" t="s">
        <v>502</v>
      </c>
      <c r="D107" s="21" t="s">
        <v>503</v>
      </c>
      <c r="E107" s="20">
        <v>0</v>
      </c>
      <c r="F107" s="1">
        <v>107</v>
      </c>
      <c r="G107" s="1">
        <f>VLOOKUP($F107,AF!$B$39:$M$80,G$9)*$E107</f>
        <v>0</v>
      </c>
      <c r="H107" s="1">
        <f>VLOOKUP($F107,AF!$B$39:$M$80,H$9)*$E107</f>
        <v>0</v>
      </c>
      <c r="I107" s="1">
        <f>VLOOKUP($F107,AF!$B$39:$M$80,I$9)*$E107</f>
        <v>0</v>
      </c>
      <c r="J107" s="1">
        <f>VLOOKUP($F107,AF!$B$39:$M$80,J$9)*$E107</f>
        <v>0</v>
      </c>
      <c r="K107" s="1">
        <f>VLOOKUP($F107,AF!$B$39:$M$80,K$9)*$E107</f>
        <v>0</v>
      </c>
      <c r="L107" s="1">
        <f>VLOOKUP($F107,AF!$B$39:$M$80,L$9)*$E107</f>
        <v>0</v>
      </c>
      <c r="M107" s="1">
        <f>VLOOKUP($F107,AF!$B$39:$M$80,M$9)*$E107</f>
        <v>0</v>
      </c>
      <c r="N107" s="1">
        <f>VLOOKUP($F107,AF!$B$39:$M$80,N$9)*$E107</f>
        <v>0</v>
      </c>
      <c r="O107" s="1">
        <f t="shared" si="63"/>
        <v>0</v>
      </c>
      <c r="Q107" s="8">
        <f t="shared" si="64"/>
        <v>0</v>
      </c>
      <c r="R107" s="8">
        <f t="shared" si="65"/>
        <v>0</v>
      </c>
      <c r="S107" s="17">
        <f t="shared" si="66"/>
        <v>0</v>
      </c>
      <c r="U107" s="118">
        <v>305</v>
      </c>
      <c r="V107" s="67">
        <f ca="1">VLOOKUP($U107,AF!$B$39:$M$80,V$9)*G107</f>
        <v>0</v>
      </c>
      <c r="W107" s="67">
        <f ca="1">VLOOKUP($U107,AF!$B$39:$M$80,W$9)*H107</f>
        <v>0</v>
      </c>
      <c r="X107" s="67">
        <f ca="1">VLOOKUP($U107,AF!$B$39:$M$80,X$9)*I107</f>
        <v>0</v>
      </c>
      <c r="Y107" s="67">
        <f ca="1">VLOOKUP($U107,AF!$B$39:$M$80,Y$9)*J107</f>
        <v>0</v>
      </c>
      <c r="Z107" s="67">
        <f ca="1">VLOOKUP($U107,AF!$B$39:$M$80,Z$9)*K107</f>
        <v>0</v>
      </c>
      <c r="AA107" s="67">
        <f ca="1">VLOOKUP($U107,AF!$B$39:$M$80,AA$9)*L107</f>
        <v>0</v>
      </c>
      <c r="AB107" s="67">
        <f ca="1">VLOOKUP($U107,AF!$B$39:$M$80,AB$9)*M107</f>
        <v>0</v>
      </c>
      <c r="AC107" s="67">
        <f ca="1">VLOOKUP($U107,AF!$B$39:$M$80,AC$9)*N107</f>
        <v>0</v>
      </c>
      <c r="AD107" s="67">
        <f t="shared" ca="1" si="67"/>
        <v>0</v>
      </c>
      <c r="AF107" s="8">
        <f t="shared" ca="1" si="68"/>
        <v>0</v>
      </c>
      <c r="AG107" s="8">
        <f t="shared" ca="1" si="69"/>
        <v>0</v>
      </c>
      <c r="AH107" s="67">
        <f t="shared" ca="1" si="70"/>
        <v>0</v>
      </c>
    </row>
    <row r="108" spans="1:34" x14ac:dyDescent="0.45">
      <c r="A108" s="118">
        <f t="shared" si="52"/>
        <v>100</v>
      </c>
      <c r="B108" s="14">
        <v>397</v>
      </c>
      <c r="C108" s="21" t="s">
        <v>88</v>
      </c>
      <c r="D108" s="21" t="s">
        <v>93</v>
      </c>
      <c r="E108" s="20">
        <v>117360</v>
      </c>
      <c r="F108" s="1">
        <v>107</v>
      </c>
      <c r="G108" s="1">
        <f>VLOOKUP($F108,AF!$B$39:$M$80,G$9)*$E108</f>
        <v>89.39069214749108</v>
      </c>
      <c r="H108" s="1">
        <f>VLOOKUP($F108,AF!$B$39:$M$80,H$9)*$E108</f>
        <v>446.95346073745549</v>
      </c>
      <c r="I108" s="1">
        <f>VLOOKUP($F108,AF!$B$39:$M$80,I$9)*$E108</f>
        <v>446.95346073745549</v>
      </c>
      <c r="J108" s="1">
        <f>VLOOKUP($F108,AF!$B$39:$M$80,J$9)*$E108</f>
        <v>0</v>
      </c>
      <c r="K108" s="1">
        <f>VLOOKUP($F108,AF!$B$39:$M$80,K$9)*$E108</f>
        <v>1519.6417665073486</v>
      </c>
      <c r="L108" s="1">
        <f>VLOOKUP($F108,AF!$B$39:$M$80,L$9)*$E108</f>
        <v>0</v>
      </c>
      <c r="M108" s="1">
        <f>VLOOKUP($F108,AF!$B$39:$M$80,M$9)*$E108</f>
        <v>0</v>
      </c>
      <c r="N108" s="1">
        <f>VLOOKUP($F108,AF!$B$39:$M$80,N$9)*$E108</f>
        <v>0</v>
      </c>
      <c r="O108" s="1">
        <f t="shared" si="63"/>
        <v>114857.06061987024</v>
      </c>
      <c r="Q108" s="8">
        <f t="shared" si="64"/>
        <v>2055.9859193922953</v>
      </c>
      <c r="R108" s="8">
        <f t="shared" si="65"/>
        <v>446.95346073745549</v>
      </c>
      <c r="S108" s="17">
        <f t="shared" si="66"/>
        <v>117360</v>
      </c>
      <c r="U108" s="118">
        <v>305</v>
      </c>
      <c r="V108" s="67">
        <f ca="1">VLOOKUP($U108,AF!$B$39:$M$80,V$9)*G108</f>
        <v>70.273522978042479</v>
      </c>
      <c r="W108" s="67">
        <f ca="1">VLOOKUP($U108,AF!$B$39:$M$80,W$9)*H108</f>
        <v>124.7708244679409</v>
      </c>
      <c r="X108" s="67">
        <f ca="1">VLOOKUP($U108,AF!$B$39:$M$80,X$9)*I108</f>
        <v>273.62606486072775</v>
      </c>
      <c r="Y108" s="67">
        <f ca="1">VLOOKUP($U108,AF!$B$39:$M$80,Y$9)*J108</f>
        <v>0</v>
      </c>
      <c r="Z108" s="67">
        <f ca="1">VLOOKUP($U108,AF!$B$39:$M$80,Z$9)*K108</f>
        <v>469.62397484808201</v>
      </c>
      <c r="AA108" s="67">
        <f ca="1">VLOOKUP($U108,AF!$B$39:$M$80,AA$9)*L108</f>
        <v>0</v>
      </c>
      <c r="AB108" s="67">
        <f ca="1">VLOOKUP($U108,AF!$B$39:$M$80,AB$9)*M108</f>
        <v>0</v>
      </c>
      <c r="AC108" s="67">
        <f ca="1">VLOOKUP($U108,AF!$B$39:$M$80,AC$9)*N108</f>
        <v>0</v>
      </c>
      <c r="AD108" s="67">
        <f t="shared" ca="1" si="67"/>
        <v>116421.70561284521</v>
      </c>
      <c r="AF108" s="8">
        <f t="shared" ca="1" si="68"/>
        <v>813.52356268685219</v>
      </c>
      <c r="AG108" s="8">
        <f t="shared" ca="1" si="69"/>
        <v>124.7708244679409</v>
      </c>
      <c r="AH108" s="67">
        <f t="shared" ca="1" si="70"/>
        <v>117360</v>
      </c>
    </row>
    <row r="109" spans="1:34" x14ac:dyDescent="0.45">
      <c r="A109" s="118">
        <f t="shared" si="52"/>
        <v>101</v>
      </c>
      <c r="B109" s="14">
        <v>398</v>
      </c>
      <c r="C109" s="21" t="s">
        <v>89</v>
      </c>
      <c r="D109" s="21" t="s">
        <v>94</v>
      </c>
      <c r="E109" s="20">
        <v>149017</v>
      </c>
      <c r="F109" s="1">
        <v>107</v>
      </c>
      <c r="G109" s="1">
        <f>VLOOKUP($F109,AF!$B$39:$M$80,G$9)*$E109</f>
        <v>113.5031763100092</v>
      </c>
      <c r="H109" s="1">
        <f>VLOOKUP($F109,AF!$B$39:$M$80,H$9)*$E109</f>
        <v>567.51588155004606</v>
      </c>
      <c r="I109" s="1">
        <f>VLOOKUP($F109,AF!$B$39:$M$80,I$9)*$E109</f>
        <v>567.51588155004606</v>
      </c>
      <c r="J109" s="1">
        <f>VLOOKUP($F109,AF!$B$39:$M$80,J$9)*$E109</f>
        <v>0</v>
      </c>
      <c r="K109" s="1">
        <f>VLOOKUP($F109,AF!$B$39:$M$80,K$9)*$E109</f>
        <v>1929.5539972701565</v>
      </c>
      <c r="L109" s="1">
        <f>VLOOKUP($F109,AF!$B$39:$M$80,L$9)*$E109</f>
        <v>0</v>
      </c>
      <c r="M109" s="1">
        <f>VLOOKUP($F109,AF!$B$39:$M$80,M$9)*$E109</f>
        <v>0</v>
      </c>
      <c r="N109" s="1">
        <f>VLOOKUP($F109,AF!$B$39:$M$80,N$9)*$E109</f>
        <v>0</v>
      </c>
      <c r="O109" s="1">
        <f t="shared" si="63"/>
        <v>145838.91106331974</v>
      </c>
      <c r="Q109" s="8">
        <f t="shared" si="64"/>
        <v>2610.5730551302117</v>
      </c>
      <c r="R109" s="8">
        <f t="shared" si="65"/>
        <v>567.51588155004606</v>
      </c>
      <c r="S109" s="17">
        <f t="shared" si="66"/>
        <v>149017</v>
      </c>
      <c r="U109" s="118">
        <v>305</v>
      </c>
      <c r="V109" s="67">
        <f ca="1">VLOOKUP($U109,AF!$B$39:$M$80,V$9)*G109</f>
        <v>89.229290845423961</v>
      </c>
      <c r="W109" s="67">
        <f ca="1">VLOOKUP($U109,AF!$B$39:$M$80,W$9)*H109</f>
        <v>158.42684006253535</v>
      </c>
      <c r="X109" s="67">
        <f ca="1">VLOOKUP($U109,AF!$B$39:$M$80,X$9)*I109</f>
        <v>347.43469075793342</v>
      </c>
      <c r="Y109" s="67">
        <f ca="1">VLOOKUP($U109,AF!$B$39:$M$80,Y$9)*J109</f>
        <v>0</v>
      </c>
      <c r="Z109" s="67">
        <f ca="1">VLOOKUP($U109,AF!$B$39:$M$80,Z$9)*K109</f>
        <v>596.30160071520652</v>
      </c>
      <c r="AA109" s="67">
        <f ca="1">VLOOKUP($U109,AF!$B$39:$M$80,AA$9)*L109</f>
        <v>0</v>
      </c>
      <c r="AB109" s="67">
        <f ca="1">VLOOKUP($U109,AF!$B$39:$M$80,AB$9)*M109</f>
        <v>0</v>
      </c>
      <c r="AC109" s="67">
        <f ca="1">VLOOKUP($U109,AF!$B$39:$M$80,AC$9)*N109</f>
        <v>0</v>
      </c>
      <c r="AD109" s="67">
        <f t="shared" ca="1" si="67"/>
        <v>147825.60757761891</v>
      </c>
      <c r="AF109" s="8">
        <f t="shared" ca="1" si="68"/>
        <v>1032.965582318564</v>
      </c>
      <c r="AG109" s="8">
        <f t="shared" ca="1" si="69"/>
        <v>158.42684006253535</v>
      </c>
      <c r="AH109" s="67">
        <f t="shared" ca="1" si="70"/>
        <v>149017</v>
      </c>
    </row>
    <row r="110" spans="1:34" x14ac:dyDescent="0.45">
      <c r="A110" s="118">
        <f t="shared" si="52"/>
        <v>102</v>
      </c>
      <c r="B110" s="14">
        <v>399</v>
      </c>
      <c r="C110" s="21" t="s">
        <v>506</v>
      </c>
      <c r="D110" s="21" t="s">
        <v>95</v>
      </c>
      <c r="E110" s="20">
        <v>3787178</v>
      </c>
      <c r="F110" s="1">
        <v>107</v>
      </c>
      <c r="G110" s="1">
        <f>VLOOKUP($F110,AF!$B$39:$M$80,G$9)*$E110</f>
        <v>2884.6153945616138</v>
      </c>
      <c r="H110" s="1">
        <f>VLOOKUP($F110,AF!$B$39:$M$80,H$9)*$E110</f>
        <v>14423.076972808072</v>
      </c>
      <c r="I110" s="1">
        <f>VLOOKUP($F110,AF!$B$39:$M$80,I$9)*$E110</f>
        <v>14423.076972808072</v>
      </c>
      <c r="J110" s="1">
        <f>VLOOKUP($F110,AF!$B$39:$M$80,J$9)*$E110</f>
        <v>0</v>
      </c>
      <c r="K110" s="1">
        <f>VLOOKUP($F110,AF!$B$39:$M$80,K$9)*$E110</f>
        <v>49038.461707547445</v>
      </c>
      <c r="L110" s="1">
        <f>VLOOKUP($F110,AF!$B$39:$M$80,L$9)*$E110</f>
        <v>0</v>
      </c>
      <c r="M110" s="1">
        <f>VLOOKUP($F110,AF!$B$39:$M$80,M$9)*$E110</f>
        <v>0</v>
      </c>
      <c r="N110" s="1">
        <f>VLOOKUP($F110,AF!$B$39:$M$80,N$9)*$E110</f>
        <v>0</v>
      </c>
      <c r="O110" s="1">
        <f t="shared" si="63"/>
        <v>3706408.7689522747</v>
      </c>
      <c r="Q110" s="8">
        <f t="shared" si="64"/>
        <v>66346.154074917125</v>
      </c>
      <c r="R110" s="8">
        <f t="shared" si="65"/>
        <v>14423.076972808072</v>
      </c>
      <c r="S110" s="17">
        <f t="shared" si="66"/>
        <v>3787178</v>
      </c>
      <c r="U110" s="118">
        <v>305</v>
      </c>
      <c r="V110" s="67">
        <f ca="1">VLOOKUP($U110,AF!$B$39:$M$80,V$9)*G110</f>
        <v>2267.7091019507238</v>
      </c>
      <c r="W110" s="67">
        <f ca="1">VLOOKUP($U110,AF!$B$39:$M$80,W$9)*H110</f>
        <v>4026.3234617147878</v>
      </c>
      <c r="X110" s="67">
        <f ca="1">VLOOKUP($U110,AF!$B$39:$M$80,X$9)*I110</f>
        <v>8829.8450329509305</v>
      </c>
      <c r="Y110" s="67">
        <f ca="1">VLOOKUP($U110,AF!$B$39:$M$80,Y$9)*J110</f>
        <v>0</v>
      </c>
      <c r="Z110" s="67">
        <f ca="1">VLOOKUP($U110,AF!$B$39:$M$80,Z$9)*K110</f>
        <v>15154.648822573363</v>
      </c>
      <c r="AA110" s="67">
        <f ca="1">VLOOKUP($U110,AF!$B$39:$M$80,AA$9)*L110</f>
        <v>0</v>
      </c>
      <c r="AB110" s="67">
        <f ca="1">VLOOKUP($U110,AF!$B$39:$M$80,AB$9)*M110</f>
        <v>0</v>
      </c>
      <c r="AC110" s="67">
        <f ca="1">VLOOKUP($U110,AF!$B$39:$M$80,AC$9)*N110</f>
        <v>0</v>
      </c>
      <c r="AD110" s="67">
        <f t="shared" ca="1" si="67"/>
        <v>3756899.4735808102</v>
      </c>
      <c r="AF110" s="8">
        <f t="shared" ca="1" si="68"/>
        <v>26252.202957475016</v>
      </c>
      <c r="AG110" s="8">
        <f t="shared" ca="1" si="69"/>
        <v>4026.3234617147878</v>
      </c>
      <c r="AH110" s="67">
        <f t="shared" ca="1" si="70"/>
        <v>3787178</v>
      </c>
    </row>
    <row r="111" spans="1:34" x14ac:dyDescent="0.45">
      <c r="A111" s="118">
        <f t="shared" si="52"/>
        <v>103</v>
      </c>
      <c r="B111" s="14">
        <v>399.1</v>
      </c>
      <c r="C111" s="21" t="s">
        <v>504</v>
      </c>
      <c r="D111" s="21" t="s">
        <v>505</v>
      </c>
      <c r="E111" s="27">
        <v>0</v>
      </c>
      <c r="F111" s="1">
        <v>107</v>
      </c>
      <c r="G111" s="1">
        <f>VLOOKUP($F111,AF!$B$39:$M$80,G$9)*$E111</f>
        <v>0</v>
      </c>
      <c r="H111" s="1">
        <f>VLOOKUP($F111,AF!$B$39:$M$80,H$9)*$E111</f>
        <v>0</v>
      </c>
      <c r="I111" s="1">
        <f>VLOOKUP($F111,AF!$B$39:$M$80,I$9)*$E111</f>
        <v>0</v>
      </c>
      <c r="J111" s="1">
        <f>VLOOKUP($F111,AF!$B$39:$M$80,J$9)*$E111</f>
        <v>0</v>
      </c>
      <c r="K111" s="1">
        <f>VLOOKUP($F111,AF!$B$39:$M$80,K$9)*$E111</f>
        <v>0</v>
      </c>
      <c r="L111" s="1">
        <f>VLOOKUP($F111,AF!$B$39:$M$80,L$9)*$E111</f>
        <v>0</v>
      </c>
      <c r="M111" s="1">
        <f>VLOOKUP($F111,AF!$B$39:$M$80,M$9)*$E111</f>
        <v>0</v>
      </c>
      <c r="N111" s="1">
        <f>VLOOKUP($F111,AF!$B$39:$M$80,N$9)*$E111</f>
        <v>0</v>
      </c>
      <c r="O111" s="1">
        <f t="shared" si="63"/>
        <v>0</v>
      </c>
      <c r="Q111" s="8">
        <f t="shared" si="64"/>
        <v>0</v>
      </c>
      <c r="R111" s="8">
        <f t="shared" si="65"/>
        <v>0</v>
      </c>
      <c r="S111" s="17">
        <f t="shared" si="66"/>
        <v>0</v>
      </c>
      <c r="U111" s="118">
        <v>305</v>
      </c>
      <c r="V111" s="67">
        <f ca="1">VLOOKUP($U111,AF!$B$39:$M$80,V$9)*G111</f>
        <v>0</v>
      </c>
      <c r="W111" s="67">
        <f ca="1">VLOOKUP($U111,AF!$B$39:$M$80,W$9)*H111</f>
        <v>0</v>
      </c>
      <c r="X111" s="67">
        <f ca="1">VLOOKUP($U111,AF!$B$39:$M$80,X$9)*I111</f>
        <v>0</v>
      </c>
      <c r="Y111" s="67">
        <f ca="1">VLOOKUP($U111,AF!$B$39:$M$80,Y$9)*J111</f>
        <v>0</v>
      </c>
      <c r="Z111" s="67">
        <f ca="1">VLOOKUP($U111,AF!$B$39:$M$80,Z$9)*K111</f>
        <v>0</v>
      </c>
      <c r="AA111" s="67">
        <f ca="1">VLOOKUP($U111,AF!$B$39:$M$80,AA$9)*L111</f>
        <v>0</v>
      </c>
      <c r="AB111" s="67">
        <f ca="1">VLOOKUP($U111,AF!$B$39:$M$80,AB$9)*M111</f>
        <v>0</v>
      </c>
      <c r="AC111" s="67">
        <f ca="1">VLOOKUP($U111,AF!$B$39:$M$80,AC$9)*N111</f>
        <v>0</v>
      </c>
      <c r="AD111" s="67">
        <f t="shared" ca="1" si="67"/>
        <v>0</v>
      </c>
      <c r="AF111" s="8">
        <f t="shared" ca="1" si="68"/>
        <v>0</v>
      </c>
      <c r="AG111" s="8">
        <f t="shared" ca="1" si="69"/>
        <v>0</v>
      </c>
      <c r="AH111" s="67">
        <f t="shared" ca="1" si="70"/>
        <v>0</v>
      </c>
    </row>
    <row r="112" spans="1:34" x14ac:dyDescent="0.45">
      <c r="A112" s="118">
        <f t="shared" si="52"/>
        <v>104</v>
      </c>
      <c r="C112" s="21" t="s">
        <v>0</v>
      </c>
      <c r="E112" s="32">
        <f>SUM(E100:E111)</f>
        <v>22685929</v>
      </c>
      <c r="G112" s="32">
        <f>SUM(G100:G111)</f>
        <v>17279.404356840834</v>
      </c>
      <c r="H112" s="32">
        <f>SUM(H100:H111)</f>
        <v>86397.021784204189</v>
      </c>
      <c r="I112" s="32">
        <f>SUM(I100:I111)</f>
        <v>86397.021784204189</v>
      </c>
      <c r="J112" s="32">
        <f t="shared" ref="J112" si="71">SUM(J100:J111)</f>
        <v>0</v>
      </c>
      <c r="K112" s="32">
        <f>SUM(K100:K111)</f>
        <v>293749.87406629417</v>
      </c>
      <c r="L112" s="32">
        <f t="shared" ref="L112" si="72">SUM(L100:L111)</f>
        <v>0</v>
      </c>
      <c r="M112" s="32">
        <f>SUM(M100:M111)</f>
        <v>0</v>
      </c>
      <c r="N112" s="32">
        <f t="shared" ref="N112" si="73">SUM(N100:N111)</f>
        <v>0</v>
      </c>
      <c r="O112" s="32">
        <f>SUM(O100:O111)</f>
        <v>22202105.67800846</v>
      </c>
      <c r="Q112" s="61">
        <f>SUM(Q100:Q111)</f>
        <v>397426.30020733929</v>
      </c>
      <c r="R112" s="61">
        <f t="shared" ref="R112" si="74">SUM(R100:R111)</f>
        <v>86397.021784204189</v>
      </c>
      <c r="S112" s="32">
        <f>SUM(S100:S111)</f>
        <v>22685929</v>
      </c>
      <c r="U112" s="118"/>
      <c r="V112" s="32">
        <f t="shared" ref="V112:W112" ca="1" si="75">SUM(V100:V111)</f>
        <v>13584.016299077539</v>
      </c>
      <c r="W112" s="32">
        <f t="shared" ca="1" si="75"/>
        <v>24118.456587859328</v>
      </c>
      <c r="X112" s="32">
        <f t="shared" ref="X112:Y112" ca="1" si="76">SUM(X100:X111)</f>
        <v>52892.480231593931</v>
      </c>
      <c r="Y112" s="32">
        <f t="shared" ca="1" si="76"/>
        <v>0</v>
      </c>
      <c r="Z112" s="32">
        <f t="shared" ref="Z112:AC112" ca="1" si="77">SUM(Z100:Z111)</f>
        <v>90779.278715928565</v>
      </c>
      <c r="AA112" s="32">
        <f t="shared" ca="1" si="77"/>
        <v>0</v>
      </c>
      <c r="AB112" s="32">
        <f t="shared" ca="1" si="77"/>
        <v>0</v>
      </c>
      <c r="AC112" s="32">
        <f t="shared" ca="1" si="77"/>
        <v>0</v>
      </c>
      <c r="AD112" s="32">
        <f ca="1">SUM(AD100:AD111)</f>
        <v>22504554.76816554</v>
      </c>
      <c r="AF112" s="61">
        <f ca="1">SUM(AF100:AF111)</f>
        <v>157255.77524660004</v>
      </c>
      <c r="AG112" s="61">
        <f ca="1">SUM(AG100:AG111)</f>
        <v>24118.456587859328</v>
      </c>
      <c r="AH112" s="32">
        <f ca="1">SUM(AH100:AH111)</f>
        <v>22685929</v>
      </c>
    </row>
    <row r="113" spans="1:34" ht="14.65" thickBot="1" x14ac:dyDescent="0.5">
      <c r="A113" s="118">
        <f t="shared" si="52"/>
        <v>105</v>
      </c>
      <c r="E113" s="64"/>
      <c r="G113" s="64"/>
      <c r="H113" s="64"/>
      <c r="I113" s="64"/>
      <c r="J113" s="64"/>
      <c r="K113" s="64"/>
      <c r="L113" s="64"/>
      <c r="M113" s="64"/>
      <c r="N113" s="64"/>
      <c r="O113" s="64"/>
      <c r="Q113" s="82"/>
      <c r="R113" s="82"/>
      <c r="S113" s="64"/>
      <c r="U113" s="118"/>
      <c r="V113" s="64"/>
      <c r="W113" s="64"/>
      <c r="X113" s="64"/>
      <c r="Y113" s="64"/>
      <c r="Z113" s="64"/>
      <c r="AA113" s="64"/>
      <c r="AB113" s="64"/>
      <c r="AC113" s="87"/>
      <c r="AD113" s="64"/>
      <c r="AF113" s="82"/>
      <c r="AG113" s="82"/>
      <c r="AH113" s="64"/>
    </row>
    <row r="114" spans="1:34" ht="14.65" thickTop="1" x14ac:dyDescent="0.45">
      <c r="A114" s="118">
        <f t="shared" si="52"/>
        <v>106</v>
      </c>
      <c r="C114" s="21" t="s">
        <v>96</v>
      </c>
      <c r="E114" s="1">
        <f>E13+E24+E35+E60+E87+E97+E112</f>
        <v>1053694708</v>
      </c>
      <c r="G114" s="1">
        <f t="shared" ref="G114:O114" si="78">G13+G24+G35+G60+G87+G97+G112</f>
        <v>5368803.7052164394</v>
      </c>
      <c r="H114" s="1">
        <f t="shared" si="78"/>
        <v>5462434.5260821981</v>
      </c>
      <c r="I114" s="1">
        <f t="shared" si="78"/>
        <v>25422029.526082199</v>
      </c>
      <c r="J114" s="1">
        <f t="shared" si="78"/>
        <v>0</v>
      </c>
      <c r="K114" s="1">
        <f t="shared" si="78"/>
        <v>49384551.988679476</v>
      </c>
      <c r="L114" s="1">
        <f t="shared" si="78"/>
        <v>0</v>
      </c>
      <c r="M114" s="1">
        <f t="shared" si="78"/>
        <v>0</v>
      </c>
      <c r="N114" s="1">
        <f t="shared" si="78"/>
        <v>0</v>
      </c>
      <c r="O114" s="1">
        <f t="shared" si="78"/>
        <v>968056888.25393963</v>
      </c>
      <c r="Q114" s="8">
        <f>Q13+Q24+Q35+Q60+Q87+Q97+Q112</f>
        <v>80175385.219978124</v>
      </c>
      <c r="R114" s="8">
        <f>R13+R24+R35+R60+R87+R97+R112</f>
        <v>5462434.5260821981</v>
      </c>
      <c r="S114" s="1">
        <f>S13+S24+S35+S60+S87+S97+S112</f>
        <v>1053694708</v>
      </c>
      <c r="U114" s="118"/>
      <c r="V114" s="1">
        <f t="shared" ref="V114:AD114" ca="1" si="79">V13+V24+V35+V60+V87+V97+V112</f>
        <v>4224263.3496586764</v>
      </c>
      <c r="W114" s="1">
        <f t="shared" ca="1" si="79"/>
        <v>1586171.6578858537</v>
      </c>
      <c r="X114" s="1">
        <f t="shared" ca="1" si="79"/>
        <v>15596403.358029589</v>
      </c>
      <c r="Y114" s="1">
        <f t="shared" ca="1" si="79"/>
        <v>0</v>
      </c>
      <c r="Z114" s="1">
        <f t="shared" ca="1" si="79"/>
        <v>15461342.292829109</v>
      </c>
      <c r="AA114" s="1">
        <f t="shared" ca="1" si="79"/>
        <v>0</v>
      </c>
      <c r="AB114" s="1">
        <f t="shared" ca="1" si="79"/>
        <v>0</v>
      </c>
      <c r="AC114" s="1">
        <f t="shared" ca="1" si="79"/>
        <v>0</v>
      </c>
      <c r="AD114" s="1">
        <f t="shared" ca="1" si="79"/>
        <v>1016826527.3415968</v>
      </c>
      <c r="AF114" s="8">
        <f ca="1">AF13+AF24+AF35+AF60+AF87+AF97+AF112</f>
        <v>35282009.000517376</v>
      </c>
      <c r="AG114" s="8">
        <f ca="1">AG13+AG24+AG35+AG60+AG87+AG97+AG112</f>
        <v>1586171.6578858537</v>
      </c>
      <c r="AH114" s="1">
        <f t="shared" ref="AH114" ca="1" si="80">AH13+AH24+AH35+AH60+AH87+AH97+AH112</f>
        <v>1053694708</v>
      </c>
    </row>
    <row r="115" spans="1:34" x14ac:dyDescent="0.45">
      <c r="A115" s="118">
        <f t="shared" si="52"/>
        <v>107</v>
      </c>
      <c r="C115" s="21" t="s">
        <v>676</v>
      </c>
      <c r="E115" s="1"/>
      <c r="F115" s="118">
        <v>109</v>
      </c>
      <c r="G115" s="13">
        <f>IFERROR(G114/$E$114,0)</f>
        <v>5.0952174898997778E-3</v>
      </c>
      <c r="H115" s="13">
        <f t="shared" ref="H115:O115" si="81">IFERROR(H114/$E$114,0)</f>
        <v>5.1840770240275313E-3</v>
      </c>
      <c r="I115" s="13">
        <f t="shared" si="81"/>
        <v>2.4126560884352662E-2</v>
      </c>
      <c r="J115" s="13">
        <f t="shared" si="81"/>
        <v>0</v>
      </c>
      <c r="K115" s="13">
        <f t="shared" si="81"/>
        <v>4.6867989004533823E-2</v>
      </c>
      <c r="L115" s="13">
        <f t="shared" si="81"/>
        <v>0</v>
      </c>
      <c r="M115" s="13">
        <f t="shared" si="81"/>
        <v>0</v>
      </c>
      <c r="N115" s="13">
        <f t="shared" si="81"/>
        <v>0</v>
      </c>
      <c r="O115" s="13">
        <f t="shared" si="81"/>
        <v>0.91872615559718618</v>
      </c>
      <c r="Q115" s="13">
        <f t="shared" ref="Q115:S115" si="82">IFERROR(Q114/$E$114,0)</f>
        <v>7.6089767378786269E-2</v>
      </c>
      <c r="R115" s="13">
        <f t="shared" si="82"/>
        <v>5.1840770240275313E-3</v>
      </c>
      <c r="S115" s="13">
        <f t="shared" si="82"/>
        <v>1</v>
      </c>
      <c r="U115" s="118"/>
      <c r="V115" s="1"/>
      <c r="W115" s="1"/>
      <c r="X115" s="1"/>
      <c r="Y115" s="1"/>
      <c r="Z115" s="1"/>
      <c r="AA115" s="1"/>
      <c r="AB115" s="1"/>
      <c r="AC115" s="1"/>
      <c r="AD115" s="1"/>
      <c r="AF115" s="13">
        <f ca="1">IFERROR(AF114/$E$114,0)</f>
        <v>3.348409053651371E-2</v>
      </c>
      <c r="AG115" s="13">
        <f ca="1">IFERROR(AG114/$E$114,0)</f>
        <v>1.5053427200906599E-3</v>
      </c>
      <c r="AH115" s="1"/>
    </row>
    <row r="116" spans="1:34" x14ac:dyDescent="0.45">
      <c r="A116" s="118">
        <f t="shared" si="52"/>
        <v>108</v>
      </c>
      <c r="E116" s="1"/>
      <c r="F116" s="118"/>
      <c r="G116" s="13"/>
      <c r="H116" s="13"/>
      <c r="I116" s="13"/>
      <c r="J116" s="13"/>
      <c r="K116" s="13"/>
      <c r="L116" s="13"/>
      <c r="M116" s="13"/>
      <c r="N116" s="13"/>
      <c r="O116" s="13"/>
      <c r="Q116" s="13"/>
      <c r="R116" s="13"/>
      <c r="S116" s="13"/>
      <c r="U116" s="118"/>
      <c r="V116" s="1"/>
      <c r="W116" s="1"/>
      <c r="X116" s="1"/>
      <c r="Y116" s="1"/>
      <c r="Z116" s="1"/>
      <c r="AA116" s="1"/>
      <c r="AB116" s="1"/>
      <c r="AC116" s="1"/>
      <c r="AD116" s="1"/>
      <c r="AF116" s="13"/>
      <c r="AG116" s="13"/>
      <c r="AH116" s="1"/>
    </row>
    <row r="117" spans="1:34" x14ac:dyDescent="0.45">
      <c r="A117" s="118">
        <f t="shared" si="52"/>
        <v>109</v>
      </c>
      <c r="C117" s="21" t="s">
        <v>711</v>
      </c>
      <c r="E117" s="1">
        <f ca="1">SUM(G117:O117)</f>
        <v>119430753</v>
      </c>
      <c r="F117" s="118">
        <v>100</v>
      </c>
      <c r="G117" s="110">
        <f t="shared" ref="G117:O117" ca="1" si="83">SUMIF($F$38:$O$87,$F$117,G38:G87)</f>
        <v>5334520</v>
      </c>
      <c r="H117" s="110">
        <f t="shared" ca="1" si="83"/>
        <v>5291016</v>
      </c>
      <c r="I117" s="110">
        <f t="shared" ca="1" si="83"/>
        <v>25250611</v>
      </c>
      <c r="J117" s="110">
        <f t="shared" ca="1" si="83"/>
        <v>0</v>
      </c>
      <c r="K117" s="110">
        <f t="shared" ca="1" si="83"/>
        <v>48801729</v>
      </c>
      <c r="L117" s="110">
        <f t="shared" ca="1" si="83"/>
        <v>0</v>
      </c>
      <c r="M117" s="110">
        <f t="shared" ca="1" si="83"/>
        <v>0</v>
      </c>
      <c r="N117" s="110">
        <f t="shared" ca="1" si="83"/>
        <v>0</v>
      </c>
      <c r="O117" s="110">
        <f t="shared" ca="1" si="83"/>
        <v>34752877</v>
      </c>
      <c r="Q117" s="110">
        <f ca="1">SUMIF($F$38:$O$87,$F$117,Q38:Q87)</f>
        <v>79386860</v>
      </c>
      <c r="R117" s="110">
        <f ca="1">SUMIF($F$38:$O$87,$F$117,R38:R87)</f>
        <v>5291016</v>
      </c>
      <c r="S117" s="110">
        <f ca="1">SUMIF($F$38:$O$87,$F$117,S38:S87)</f>
        <v>119430753</v>
      </c>
      <c r="U117" s="118"/>
      <c r="V117" s="110">
        <f ca="1">SUMIF($F$38:$O$87,$F$117,V38:V87)</f>
        <v>4193675.0324999997</v>
      </c>
      <c r="W117" s="1">
        <f t="shared" ref="W117:AD117" si="84">W39+W41+W43+W45+W47+W49+W51+W53+W55+W57+W59+W64+W66+W68+W70+W72+W74+W76+W78+W80</f>
        <v>1477031.6969999999</v>
      </c>
      <c r="X117" s="1">
        <f t="shared" si="84"/>
        <v>15458489.373500001</v>
      </c>
      <c r="Y117" s="1">
        <f t="shared" si="84"/>
        <v>0</v>
      </c>
      <c r="Z117" s="1">
        <f t="shared" si="84"/>
        <v>15081489.899499999</v>
      </c>
      <c r="AA117" s="1">
        <f t="shared" si="84"/>
        <v>0</v>
      </c>
      <c r="AB117" s="1">
        <f t="shared" si="84"/>
        <v>0</v>
      </c>
      <c r="AC117" s="1">
        <f t="shared" si="84"/>
        <v>0</v>
      </c>
      <c r="AD117" s="1">
        <f t="shared" si="84"/>
        <v>83220066.997500002</v>
      </c>
      <c r="AF117" s="13"/>
      <c r="AG117" s="13"/>
      <c r="AH117" s="85"/>
    </row>
    <row r="118" spans="1:34" x14ac:dyDescent="0.45">
      <c r="A118" s="118">
        <f t="shared" si="52"/>
        <v>110</v>
      </c>
      <c r="F118" s="118"/>
      <c r="U118" s="118"/>
    </row>
    <row r="119" spans="1:34" x14ac:dyDescent="0.45">
      <c r="A119" s="118">
        <f t="shared" si="52"/>
        <v>111</v>
      </c>
      <c r="C119" s="21" t="s">
        <v>79</v>
      </c>
      <c r="E119" s="22">
        <f>+E60</f>
        <v>58828957</v>
      </c>
      <c r="F119" s="118"/>
      <c r="G119" s="22">
        <f t="shared" ref="G119:O119" si="85">+G60</f>
        <v>4097159.3008595989</v>
      </c>
      <c r="H119" s="22">
        <f t="shared" si="85"/>
        <v>1186109.5042979943</v>
      </c>
      <c r="I119" s="22">
        <f t="shared" si="85"/>
        <v>14573795.504297994</v>
      </c>
      <c r="J119" s="22">
        <f t="shared" si="85"/>
        <v>0</v>
      </c>
      <c r="K119" s="22">
        <f t="shared" si="85"/>
        <v>12015223.114613181</v>
      </c>
      <c r="L119" s="22">
        <f t="shared" si="85"/>
        <v>0</v>
      </c>
      <c r="M119" s="22">
        <f t="shared" si="85"/>
        <v>0</v>
      </c>
      <c r="N119" s="22">
        <f t="shared" si="85"/>
        <v>0</v>
      </c>
      <c r="O119" s="22">
        <f t="shared" si="85"/>
        <v>26956669.575931232</v>
      </c>
      <c r="Q119" s="8">
        <f>+O119+M119+K119+I119+G119</f>
        <v>57642847.495702006</v>
      </c>
      <c r="R119" s="8">
        <f>+N119+L119+J119+H119</f>
        <v>1186109.5042979943</v>
      </c>
      <c r="S119" s="17">
        <f>Q119+R119</f>
        <v>58828957</v>
      </c>
      <c r="U119" s="118"/>
      <c r="V119" s="22">
        <f t="shared" ref="V119:AD119" si="86">+V60</f>
        <v>4097159.3008595989</v>
      </c>
      <c r="W119" s="22">
        <f t="shared" si="86"/>
        <v>1186109.5042979943</v>
      </c>
      <c r="X119" s="22">
        <f t="shared" si="86"/>
        <v>14573795.504297994</v>
      </c>
      <c r="Y119" s="22">
        <f t="shared" si="86"/>
        <v>0</v>
      </c>
      <c r="Z119" s="22">
        <f t="shared" si="86"/>
        <v>12015223.114613181</v>
      </c>
      <c r="AA119" s="22">
        <f t="shared" si="86"/>
        <v>0</v>
      </c>
      <c r="AB119" s="22">
        <f t="shared" si="86"/>
        <v>0</v>
      </c>
      <c r="AC119" s="22">
        <f t="shared" si="86"/>
        <v>0</v>
      </c>
      <c r="AD119" s="22">
        <f t="shared" si="86"/>
        <v>26956669.575931232</v>
      </c>
      <c r="AF119" s="8">
        <f t="shared" ref="AF119:AG121" si="87">+AB119+Z119+X119+V119</f>
        <v>30686177.919770777</v>
      </c>
      <c r="AG119" s="8">
        <f t="shared" si="87"/>
        <v>1186109.5042979943</v>
      </c>
      <c r="AH119" s="67">
        <f>+AF119+AG119+AD119</f>
        <v>58828957</v>
      </c>
    </row>
    <row r="120" spans="1:34" x14ac:dyDescent="0.45">
      <c r="A120" s="118">
        <f t="shared" si="52"/>
        <v>112</v>
      </c>
      <c r="C120" s="21" t="s">
        <v>545</v>
      </c>
      <c r="E120" s="22">
        <f>+E42</f>
        <v>17297503</v>
      </c>
      <c r="F120" s="118"/>
      <c r="G120" s="22">
        <f t="shared" ref="G120:O120" si="88">+G42</f>
        <v>0</v>
      </c>
      <c r="H120" s="22">
        <f t="shared" si="88"/>
        <v>0</v>
      </c>
      <c r="I120" s="22">
        <f t="shared" si="88"/>
        <v>0</v>
      </c>
      <c r="J120" s="22">
        <f t="shared" si="88"/>
        <v>0</v>
      </c>
      <c r="K120" s="22">
        <f t="shared" si="88"/>
        <v>0</v>
      </c>
      <c r="L120" s="22">
        <f t="shared" si="88"/>
        <v>0</v>
      </c>
      <c r="M120" s="22">
        <f t="shared" si="88"/>
        <v>0</v>
      </c>
      <c r="N120" s="22">
        <f t="shared" si="88"/>
        <v>0</v>
      </c>
      <c r="O120" s="22">
        <f t="shared" si="88"/>
        <v>17297503</v>
      </c>
      <c r="Q120" s="8">
        <f>+O120+M120+K120+I120+G120</f>
        <v>17297503</v>
      </c>
      <c r="R120" s="8">
        <f>+N120+L120+J120+H120</f>
        <v>0</v>
      </c>
      <c r="S120" s="17">
        <f>Q120+R120</f>
        <v>17297503</v>
      </c>
      <c r="U120" s="118"/>
      <c r="V120" s="22">
        <f t="shared" ref="V120:AD120" si="89">+V42</f>
        <v>0</v>
      </c>
      <c r="W120" s="22">
        <f t="shared" si="89"/>
        <v>0</v>
      </c>
      <c r="X120" s="22">
        <f t="shared" si="89"/>
        <v>0</v>
      </c>
      <c r="Y120" s="22">
        <f t="shared" si="89"/>
        <v>0</v>
      </c>
      <c r="Z120" s="22">
        <f t="shared" si="89"/>
        <v>0</v>
      </c>
      <c r="AA120" s="22">
        <f t="shared" si="89"/>
        <v>0</v>
      </c>
      <c r="AB120" s="22">
        <f t="shared" si="89"/>
        <v>0</v>
      </c>
      <c r="AC120" s="22">
        <f t="shared" si="89"/>
        <v>0</v>
      </c>
      <c r="AD120" s="22">
        <f t="shared" si="89"/>
        <v>17297503</v>
      </c>
      <c r="AF120" s="8">
        <f t="shared" si="87"/>
        <v>0</v>
      </c>
      <c r="AG120" s="8">
        <f t="shared" si="87"/>
        <v>0</v>
      </c>
      <c r="AH120" s="67">
        <f>+AF120+AG120+AD120</f>
        <v>17297503</v>
      </c>
    </row>
    <row r="121" spans="1:34" x14ac:dyDescent="0.45">
      <c r="A121" s="118">
        <f t="shared" si="52"/>
        <v>113</v>
      </c>
      <c r="C121" s="21" t="s">
        <v>675</v>
      </c>
      <c r="E121" s="22">
        <f>E119-E120</f>
        <v>41531454</v>
      </c>
      <c r="F121" s="118"/>
      <c r="G121" s="22">
        <f t="shared" ref="G121:O121" si="90">G119-G120</f>
        <v>4097159.3008595989</v>
      </c>
      <c r="H121" s="22">
        <f t="shared" si="90"/>
        <v>1186109.5042979943</v>
      </c>
      <c r="I121" s="22">
        <f t="shared" si="90"/>
        <v>14573795.504297994</v>
      </c>
      <c r="J121" s="22">
        <f t="shared" si="90"/>
        <v>0</v>
      </c>
      <c r="K121" s="22">
        <f t="shared" si="90"/>
        <v>12015223.114613181</v>
      </c>
      <c r="L121" s="22">
        <f t="shared" si="90"/>
        <v>0</v>
      </c>
      <c r="M121" s="22">
        <f t="shared" si="90"/>
        <v>0</v>
      </c>
      <c r="N121" s="22">
        <f t="shared" si="90"/>
        <v>0</v>
      </c>
      <c r="O121" s="22">
        <f t="shared" si="90"/>
        <v>9659166.5759312324</v>
      </c>
      <c r="Q121" s="8">
        <f>+O121+M121+K121+I121+G121</f>
        <v>40345344.495702006</v>
      </c>
      <c r="R121" s="8">
        <f>+N121+L121+J121+H121</f>
        <v>1186109.5042979943</v>
      </c>
      <c r="S121" s="17">
        <f>Q121+R121</f>
        <v>41531454</v>
      </c>
      <c r="U121" s="118"/>
      <c r="V121" s="22">
        <f t="shared" ref="V121" si="91">V119-V120</f>
        <v>4097159.3008595989</v>
      </c>
      <c r="W121" s="22">
        <f t="shared" ref="W121" si="92">W119-W120</f>
        <v>1186109.5042979943</v>
      </c>
      <c r="X121" s="22">
        <f t="shared" ref="X121" si="93">X119-X120</f>
        <v>14573795.504297994</v>
      </c>
      <c r="Y121" s="22">
        <f t="shared" ref="Y121" si="94">Y119-Y120</f>
        <v>0</v>
      </c>
      <c r="Z121" s="22">
        <f t="shared" ref="Z121" si="95">Z119-Z120</f>
        <v>12015223.114613181</v>
      </c>
      <c r="AA121" s="22">
        <f t="shared" ref="AA121" si="96">AA119-AA120</f>
        <v>0</v>
      </c>
      <c r="AB121" s="22">
        <f t="shared" ref="AB121" si="97">AB119-AB120</f>
        <v>0</v>
      </c>
      <c r="AC121" s="22">
        <f t="shared" ref="AC121" si="98">AC119-AC120</f>
        <v>0</v>
      </c>
      <c r="AD121" s="22">
        <f t="shared" ref="AD121" si="99">AD119-AD120</f>
        <v>9659166.5759312324</v>
      </c>
      <c r="AF121" s="8">
        <f t="shared" si="87"/>
        <v>30686177.919770777</v>
      </c>
      <c r="AG121" s="8">
        <f t="shared" si="87"/>
        <v>1186109.5042979943</v>
      </c>
      <c r="AH121" s="67">
        <f>+AF121+AG121+AD121</f>
        <v>41531454</v>
      </c>
    </row>
    <row r="122" spans="1:34" x14ac:dyDescent="0.45">
      <c r="A122" s="118">
        <f t="shared" si="52"/>
        <v>114</v>
      </c>
      <c r="C122" s="21" t="s">
        <v>676</v>
      </c>
      <c r="F122" s="118">
        <v>201</v>
      </c>
      <c r="G122" s="13">
        <f>IFERROR(G121/($G$121+$H$121),0)</f>
        <v>0.77549703639154244</v>
      </c>
      <c r="H122" s="13">
        <f>IFERROR(H121/($G$121+$H$121),0)</f>
        <v>0.22450296360845756</v>
      </c>
      <c r="I122" s="13">
        <f>IFERROR(I121/($I$121+$J$121),0)</f>
        <v>1</v>
      </c>
      <c r="J122" s="13">
        <f>IFERROR(J121/($I$121+$J$121),0)</f>
        <v>0</v>
      </c>
      <c r="K122" s="13">
        <f>IFERROR(K121/($K$121+$L$121),0)</f>
        <v>1</v>
      </c>
      <c r="L122" s="13">
        <f>IFERROR(L121/($K$121+$L$121),0)</f>
        <v>0</v>
      </c>
      <c r="M122" s="13">
        <f>IFERROR(M121/($N$121+$M$121),0)</f>
        <v>0</v>
      </c>
      <c r="N122" s="13">
        <f>IFERROR(N121/($N$121+$M$121),0)</f>
        <v>0</v>
      </c>
      <c r="O122" s="13">
        <f>IFERROR(O121/($O$121),0)</f>
        <v>1</v>
      </c>
      <c r="Q122" s="13">
        <f>IFERROR(Q121/($R$121+$Q$121),0)</f>
        <v>0.97144069397864097</v>
      </c>
      <c r="R122" s="13">
        <f>IFERROR(R121/($R$121+$Q$121),0)</f>
        <v>2.8559306021359001E-2</v>
      </c>
      <c r="S122" s="71"/>
      <c r="U122" s="118"/>
      <c r="V122" s="13"/>
      <c r="W122" s="13"/>
      <c r="X122" s="13"/>
      <c r="Y122" s="13"/>
      <c r="Z122" s="13"/>
      <c r="AA122" s="13"/>
      <c r="AB122" s="13"/>
      <c r="AC122" s="13"/>
      <c r="AD122" s="13"/>
      <c r="AH122" s="13"/>
    </row>
    <row r="123" spans="1:34" x14ac:dyDescent="0.45">
      <c r="A123" s="118">
        <f t="shared" si="52"/>
        <v>115</v>
      </c>
      <c r="F123" s="118"/>
      <c r="U123" s="118"/>
    </row>
    <row r="124" spans="1:34" x14ac:dyDescent="0.45">
      <c r="A124" s="118">
        <f t="shared" si="52"/>
        <v>116</v>
      </c>
      <c r="C124" s="21" t="str">
        <f>+C121</f>
        <v>Transmission Plant w/o Gen Step-Up</v>
      </c>
      <c r="E124" s="22">
        <f>+E121</f>
        <v>41531454</v>
      </c>
      <c r="F124" s="118"/>
      <c r="G124" s="22">
        <f t="shared" ref="G124:O124" si="100">+G121</f>
        <v>4097159.3008595989</v>
      </c>
      <c r="H124" s="22">
        <f t="shared" si="100"/>
        <v>1186109.5042979943</v>
      </c>
      <c r="I124" s="22">
        <f t="shared" si="100"/>
        <v>14573795.504297994</v>
      </c>
      <c r="J124" s="22">
        <f t="shared" si="100"/>
        <v>0</v>
      </c>
      <c r="K124" s="22">
        <f t="shared" si="100"/>
        <v>12015223.114613181</v>
      </c>
      <c r="L124" s="22">
        <f t="shared" si="100"/>
        <v>0</v>
      </c>
      <c r="M124" s="22">
        <f t="shared" si="100"/>
        <v>0</v>
      </c>
      <c r="N124" s="22">
        <f t="shared" si="100"/>
        <v>0</v>
      </c>
      <c r="O124" s="22">
        <f t="shared" si="100"/>
        <v>9659166.5759312324</v>
      </c>
      <c r="Q124" s="8">
        <f>+O124+M124+K124+I124+G124</f>
        <v>40345344.495702006</v>
      </c>
      <c r="R124" s="8">
        <f>+N124+L124+J124+H124</f>
        <v>1186109.5042979943</v>
      </c>
      <c r="S124" s="17">
        <f>Q124+R124</f>
        <v>41531454</v>
      </c>
      <c r="U124" s="118"/>
      <c r="V124" s="22">
        <f>+V121</f>
        <v>4097159.3008595989</v>
      </c>
      <c r="W124" s="22">
        <f t="shared" ref="W124:AD124" si="101">+W121</f>
        <v>1186109.5042979943</v>
      </c>
      <c r="X124" s="22">
        <f t="shared" si="101"/>
        <v>14573795.504297994</v>
      </c>
      <c r="Y124" s="22">
        <f t="shared" si="101"/>
        <v>0</v>
      </c>
      <c r="Z124" s="22">
        <f t="shared" si="101"/>
        <v>12015223.114613181</v>
      </c>
      <c r="AA124" s="22">
        <f t="shared" si="101"/>
        <v>0</v>
      </c>
      <c r="AB124" s="22">
        <f t="shared" si="101"/>
        <v>0</v>
      </c>
      <c r="AC124" s="22">
        <f t="shared" si="101"/>
        <v>0</v>
      </c>
      <c r="AD124" s="22">
        <f t="shared" si="101"/>
        <v>9659166.5759312324</v>
      </c>
      <c r="AF124" s="8">
        <f t="shared" ref="AF124:AG126" si="102">+AB124+Z124+X124+V124</f>
        <v>30686177.919770777</v>
      </c>
      <c r="AG124" s="8">
        <f t="shared" si="102"/>
        <v>1186109.5042979943</v>
      </c>
      <c r="AH124" s="67">
        <f t="shared" ref="AH124:AH126" si="103">+AF124+AG124+AD124</f>
        <v>41531454</v>
      </c>
    </row>
    <row r="125" spans="1:34" x14ac:dyDescent="0.45">
      <c r="A125" s="118">
        <f t="shared" si="52"/>
        <v>117</v>
      </c>
      <c r="B125" s="2"/>
      <c r="C125" s="2" t="s">
        <v>544</v>
      </c>
      <c r="D125" s="2"/>
      <c r="E125" s="22">
        <f>-E38-E39-E56-E57</f>
        <v>-236222</v>
      </c>
      <c r="F125" s="118"/>
      <c r="G125" s="22">
        <f t="shared" ref="G125:O125" si="104">-G38-G39-G56-G57</f>
        <v>-35574</v>
      </c>
      <c r="H125" s="22">
        <f t="shared" si="104"/>
        <v>0</v>
      </c>
      <c r="I125" s="22">
        <f t="shared" si="104"/>
        <v>0</v>
      </c>
      <c r="J125" s="22">
        <f t="shared" si="104"/>
        <v>0</v>
      </c>
      <c r="K125" s="22">
        <f t="shared" si="104"/>
        <v>-74617</v>
      </c>
      <c r="L125" s="22">
        <f t="shared" si="104"/>
        <v>0</v>
      </c>
      <c r="M125" s="22">
        <f t="shared" si="104"/>
        <v>0</v>
      </c>
      <c r="N125" s="22">
        <f t="shared" si="104"/>
        <v>0</v>
      </c>
      <c r="O125" s="22">
        <f t="shared" si="104"/>
        <v>-126031</v>
      </c>
      <c r="Q125" s="8">
        <f>+O125+M125+K125+I125+G125</f>
        <v>-236222</v>
      </c>
      <c r="R125" s="8">
        <f>+N125+L125+J125+H125</f>
        <v>0</v>
      </c>
      <c r="S125" s="17">
        <f>Q125+R125</f>
        <v>-236222</v>
      </c>
      <c r="U125" s="118"/>
      <c r="V125" s="22">
        <f t="shared" ref="V125:AD125" si="105">-V38-V39-V56-V57</f>
        <v>-35574</v>
      </c>
      <c r="W125" s="22">
        <f t="shared" si="105"/>
        <v>0</v>
      </c>
      <c r="X125" s="22">
        <f t="shared" si="105"/>
        <v>0</v>
      </c>
      <c r="Y125" s="22">
        <f t="shared" si="105"/>
        <v>0</v>
      </c>
      <c r="Z125" s="22">
        <f t="shared" si="105"/>
        <v>-74617</v>
      </c>
      <c r="AA125" s="22">
        <f t="shared" si="105"/>
        <v>0</v>
      </c>
      <c r="AB125" s="22">
        <f t="shared" si="105"/>
        <v>0</v>
      </c>
      <c r="AC125" s="22">
        <f t="shared" si="105"/>
        <v>0</v>
      </c>
      <c r="AD125" s="22">
        <f t="shared" si="105"/>
        <v>-126031</v>
      </c>
      <c r="AF125" s="8">
        <f t="shared" si="102"/>
        <v>-110191</v>
      </c>
      <c r="AG125" s="8">
        <f t="shared" si="102"/>
        <v>0</v>
      </c>
      <c r="AH125" s="67">
        <f t="shared" si="103"/>
        <v>-236222</v>
      </c>
    </row>
    <row r="126" spans="1:34" x14ac:dyDescent="0.45">
      <c r="A126" s="118">
        <f t="shared" si="52"/>
        <v>118</v>
      </c>
      <c r="C126" s="2" t="s">
        <v>685</v>
      </c>
      <c r="E126" s="22">
        <f>E124+E125</f>
        <v>41295232</v>
      </c>
      <c r="F126" s="118"/>
      <c r="G126" s="22">
        <f t="shared" ref="G126:O126" si="106">G124+G125</f>
        <v>4061585.3008595989</v>
      </c>
      <c r="H126" s="22">
        <f t="shared" si="106"/>
        <v>1186109.5042979943</v>
      </c>
      <c r="I126" s="22">
        <f t="shared" si="106"/>
        <v>14573795.504297994</v>
      </c>
      <c r="J126" s="22">
        <f t="shared" si="106"/>
        <v>0</v>
      </c>
      <c r="K126" s="22">
        <f t="shared" si="106"/>
        <v>11940606.114613181</v>
      </c>
      <c r="L126" s="22">
        <f t="shared" si="106"/>
        <v>0</v>
      </c>
      <c r="M126" s="22">
        <f t="shared" si="106"/>
        <v>0</v>
      </c>
      <c r="N126" s="22">
        <f t="shared" si="106"/>
        <v>0</v>
      </c>
      <c r="O126" s="22">
        <f t="shared" si="106"/>
        <v>9533135.5759312324</v>
      </c>
      <c r="Q126" s="8">
        <f>+O126+M126+K126+I126+G126</f>
        <v>40109122.495702006</v>
      </c>
      <c r="R126" s="8">
        <f>+N126+L126+J126+H126</f>
        <v>1186109.5042979943</v>
      </c>
      <c r="S126" s="17">
        <f>Q126+R126</f>
        <v>41295232</v>
      </c>
      <c r="U126" s="118"/>
      <c r="V126" s="22">
        <f>V124+V125</f>
        <v>4061585.3008595989</v>
      </c>
      <c r="W126" s="22">
        <f t="shared" ref="W126" si="107">W124+W125</f>
        <v>1186109.5042979943</v>
      </c>
      <c r="X126" s="22">
        <f t="shared" ref="X126" si="108">X124+X125</f>
        <v>14573795.504297994</v>
      </c>
      <c r="Y126" s="22">
        <f t="shared" ref="Y126" si="109">Y124+Y125</f>
        <v>0</v>
      </c>
      <c r="Z126" s="22">
        <f t="shared" ref="Z126" si="110">Z124+Z125</f>
        <v>11940606.114613181</v>
      </c>
      <c r="AA126" s="22">
        <f t="shared" ref="AA126" si="111">AA124+AA125</f>
        <v>0</v>
      </c>
      <c r="AB126" s="22">
        <f t="shared" ref="AB126" si="112">AB124+AB125</f>
        <v>0</v>
      </c>
      <c r="AC126" s="22">
        <f t="shared" ref="AC126" si="113">AC124+AC125</f>
        <v>0</v>
      </c>
      <c r="AD126" s="22">
        <f t="shared" ref="AD126" si="114">AD124+AD125</f>
        <v>9533135.5759312324</v>
      </c>
      <c r="AF126" s="8">
        <f t="shared" si="102"/>
        <v>30575986.919770777</v>
      </c>
      <c r="AG126" s="8">
        <f t="shared" si="102"/>
        <v>1186109.5042979943</v>
      </c>
      <c r="AH126" s="67">
        <f t="shared" si="103"/>
        <v>41295232</v>
      </c>
    </row>
    <row r="127" spans="1:34" x14ac:dyDescent="0.45">
      <c r="A127" s="118">
        <f t="shared" si="52"/>
        <v>119</v>
      </c>
      <c r="C127" s="21" t="s">
        <v>676</v>
      </c>
      <c r="F127" s="118">
        <v>202</v>
      </c>
      <c r="G127" s="13">
        <f>IFERROR(G126/(G$126+H$126),0)</f>
        <v>0.77397513606693547</v>
      </c>
      <c r="H127" s="13">
        <f>IFERROR(H126/(G$126+H$126),0)</f>
        <v>0.22602486393306448</v>
      </c>
      <c r="I127" s="13">
        <f>IFERROR(I126/($I$126+$J$126),0)</f>
        <v>1</v>
      </c>
      <c r="J127" s="13">
        <f>IFERROR(J126/($I$126+$J$126),0)</f>
        <v>0</v>
      </c>
      <c r="K127" s="13">
        <f>IFERROR(K126/($K$126+$L$126),0)</f>
        <v>1</v>
      </c>
      <c r="L127" s="13">
        <f>IFERROR(L126/($K$126+$L$126),0)</f>
        <v>0</v>
      </c>
      <c r="M127" s="13">
        <f>IFERROR(M126/($N$126+$M$126),0)</f>
        <v>0</v>
      </c>
      <c r="N127" s="13">
        <f>IFERROR(N126/($N$126+$M$126),0)</f>
        <v>0</v>
      </c>
      <c r="O127" s="13">
        <f>IFERROR(O126/($O$126),0)</f>
        <v>1</v>
      </c>
      <c r="Q127" s="13">
        <f>IFERROR(Q126/($R$126+$Q$126),0)</f>
        <v>0.97127732556877278</v>
      </c>
      <c r="R127" s="13">
        <f>IFERROR(R126/($R$126+$Q$126),0)</f>
        <v>2.8722674431227176E-2</v>
      </c>
      <c r="U127" s="118">
        <v>213</v>
      </c>
      <c r="V127" s="13">
        <f>IFERROR(V126/(V$126+W$126),0)</f>
        <v>0.77397513606693547</v>
      </c>
      <c r="W127" s="13">
        <f>IFERROR(W126/(V$126+W$126),0)</f>
        <v>0.22602486393306448</v>
      </c>
      <c r="X127" s="13">
        <f>IFERROR(X126/($X$126+$Y$126),0)</f>
        <v>1</v>
      </c>
      <c r="Y127" s="13">
        <f>IFERROR(Y126/($X$126+$Y$126),0)</f>
        <v>0</v>
      </c>
      <c r="Z127" s="13">
        <f>IFERROR(Z126/($Z$126+$AA$126),0)</f>
        <v>1</v>
      </c>
      <c r="AA127" s="13">
        <f>IFERROR(AA126/($Z$126+$AA$126),0)</f>
        <v>0</v>
      </c>
      <c r="AB127" s="13">
        <f>IFERROR(AB126/($AC$126+$AB$126),0)</f>
        <v>0</v>
      </c>
      <c r="AC127" s="13">
        <f>IFERROR(AC126/($AC$126+$AB$126),0)</f>
        <v>0</v>
      </c>
      <c r="AD127" s="13">
        <f>IFERROR(AD126/$AD$126,0)</f>
        <v>1</v>
      </c>
      <c r="AF127" s="13">
        <f>IFERROR(AF126/($AG$126+$AF$126),0)</f>
        <v>0.96265644784708915</v>
      </c>
      <c r="AG127" s="13">
        <f>IFERROR(AG126/($AG$126+$AF$126),0)</f>
        <v>3.7343552152910818E-2</v>
      </c>
      <c r="AH127" s="13"/>
    </row>
    <row r="128" spans="1:34" x14ac:dyDescent="0.45">
      <c r="A128" s="118">
        <f t="shared" si="52"/>
        <v>120</v>
      </c>
      <c r="F128" s="118"/>
      <c r="U128" s="118"/>
    </row>
    <row r="129" spans="1:34" x14ac:dyDescent="0.45">
      <c r="A129" s="118">
        <f t="shared" si="52"/>
        <v>121</v>
      </c>
      <c r="C129" s="21" t="s">
        <v>677</v>
      </c>
      <c r="E129" s="22">
        <f>+E48+E49+E50+E51</f>
        <v>26889212</v>
      </c>
      <c r="F129" s="118"/>
      <c r="G129" s="22">
        <f t="shared" ref="G129:O129" si="115">+G48+G49+G50+G51</f>
        <v>3738508</v>
      </c>
      <c r="H129" s="22">
        <f t="shared" si="115"/>
        <v>1101088</v>
      </c>
      <c r="I129" s="22">
        <f t="shared" si="115"/>
        <v>11353605</v>
      </c>
      <c r="J129" s="22">
        <f t="shared" si="115"/>
        <v>0</v>
      </c>
      <c r="K129" s="22">
        <f t="shared" si="115"/>
        <v>6621256</v>
      </c>
      <c r="L129" s="22">
        <f t="shared" si="115"/>
        <v>0</v>
      </c>
      <c r="M129" s="22">
        <f t="shared" si="115"/>
        <v>0</v>
      </c>
      <c r="N129" s="22">
        <f t="shared" si="115"/>
        <v>0</v>
      </c>
      <c r="O129" s="22">
        <f t="shared" si="115"/>
        <v>4074755</v>
      </c>
      <c r="Q129" s="8">
        <f>+O129+M129+K129+I129+G129</f>
        <v>25788124</v>
      </c>
      <c r="R129" s="8">
        <f>+N129+L129+J129+H129</f>
        <v>1101088</v>
      </c>
      <c r="S129" s="17">
        <f>Q129+R129</f>
        <v>26889212</v>
      </c>
      <c r="U129" s="118"/>
      <c r="V129" s="22">
        <f t="shared" ref="V129:AD129" si="116">+V48+V49+V50+V51</f>
        <v>3738508</v>
      </c>
      <c r="W129" s="22">
        <f t="shared" si="116"/>
        <v>1101088</v>
      </c>
      <c r="X129" s="22">
        <f t="shared" si="116"/>
        <v>11353605</v>
      </c>
      <c r="Y129" s="22">
        <f t="shared" si="116"/>
        <v>0</v>
      </c>
      <c r="Z129" s="22">
        <f t="shared" si="116"/>
        <v>6621256</v>
      </c>
      <c r="AA129" s="22">
        <f t="shared" si="116"/>
        <v>0</v>
      </c>
      <c r="AB129" s="22">
        <f t="shared" si="116"/>
        <v>0</v>
      </c>
      <c r="AC129" s="22">
        <f t="shared" si="116"/>
        <v>0</v>
      </c>
      <c r="AD129" s="22">
        <f t="shared" si="116"/>
        <v>4074755</v>
      </c>
      <c r="AF129" s="8">
        <f>+AB129+Z129+X129+V129</f>
        <v>21713369</v>
      </c>
      <c r="AG129" s="8">
        <f>+AC129+AA129+Y129+W129</f>
        <v>1101088</v>
      </c>
      <c r="AH129" s="67">
        <f>+AF129+AG129+AD129</f>
        <v>26889212</v>
      </c>
    </row>
    <row r="130" spans="1:34" x14ac:dyDescent="0.45">
      <c r="A130" s="118">
        <f t="shared" si="52"/>
        <v>122</v>
      </c>
      <c r="C130" s="21" t="s">
        <v>676</v>
      </c>
      <c r="F130" s="118">
        <v>209</v>
      </c>
      <c r="G130" s="13">
        <f>IFERROR(G129/($G$129+$H$129),0)</f>
        <v>0.77248348829117142</v>
      </c>
      <c r="H130" s="13">
        <f>IFERROR(H129/($G$129+$H$129),0)</f>
        <v>0.22751651170882858</v>
      </c>
      <c r="I130" s="13">
        <f>IFERROR(I129/($I$129+$J$129),0)</f>
        <v>1</v>
      </c>
      <c r="J130" s="13">
        <f>IFERROR(J129/($I$129+$J$129),0)</f>
        <v>0</v>
      </c>
      <c r="K130" s="13">
        <f>IFERROR(K129/($K$129+$L$129),0)</f>
        <v>1</v>
      </c>
      <c r="L130" s="13">
        <f>IFERROR(L129/($K$129+$L$129),0)</f>
        <v>0</v>
      </c>
      <c r="M130" s="13">
        <f>IFERROR(M129/($N$129+$M$129),0)</f>
        <v>0</v>
      </c>
      <c r="N130" s="13">
        <f>IFERROR(N129/($N$129+$M$129),0)</f>
        <v>0</v>
      </c>
      <c r="O130" s="13">
        <f>IFERROR(O129/($O$129),0)</f>
        <v>1</v>
      </c>
      <c r="Q130" s="13">
        <f>IFERROR(Q129/($R$129+$Q$129),0)</f>
        <v>0.95905093834657562</v>
      </c>
      <c r="R130" s="13">
        <f>IFERROR(R129/($R$129+$Q$129),0)</f>
        <v>4.0949061653424428E-2</v>
      </c>
      <c r="U130" s="118">
        <v>214</v>
      </c>
      <c r="V130" s="13">
        <f>IFERROR(V129/($V$129+$W$129),0)</f>
        <v>0.77248348829117142</v>
      </c>
      <c r="W130" s="13">
        <f>IFERROR(W129/($V$129+$W$129),0)</f>
        <v>0.22751651170882858</v>
      </c>
      <c r="X130" s="13">
        <f>IFERROR(X129/($X$129+$Y$129),0)</f>
        <v>1</v>
      </c>
      <c r="Y130" s="13">
        <f>IFERROR(Y129/($X$129+$Y$129),0)</f>
        <v>0</v>
      </c>
      <c r="Z130" s="13">
        <f>IFERROR(Z129/($Z$129+$AA$129),0)</f>
        <v>1</v>
      </c>
      <c r="AA130" s="13">
        <f>IFERROR(AA129/($Z$129+$AA$129),0)</f>
        <v>0</v>
      </c>
      <c r="AB130" s="13">
        <f>IFERROR(AB129/($AC$129+$AB$129),0)</f>
        <v>0</v>
      </c>
      <c r="AC130" s="13">
        <f>IFERROR(AC129/($AC$129+$AB$129),0)</f>
        <v>0</v>
      </c>
      <c r="AD130" s="13">
        <f>IFERROR(AD129/($AD$129),0)</f>
        <v>1</v>
      </c>
      <c r="AF130" s="13">
        <f>IFERROR(AF129/($AG$129+$AF$129),0)</f>
        <v>0.95173726904830569</v>
      </c>
      <c r="AG130" s="13">
        <f>IFERROR(AG129/($AG$129+$AF$129),0)</f>
        <v>4.8262730951694359E-2</v>
      </c>
      <c r="AH130" s="13"/>
    </row>
    <row r="131" spans="1:34" x14ac:dyDescent="0.45">
      <c r="A131" s="118">
        <f t="shared" si="52"/>
        <v>123</v>
      </c>
      <c r="F131" s="118"/>
      <c r="U131" s="118"/>
    </row>
    <row r="132" spans="1:34" x14ac:dyDescent="0.45">
      <c r="A132" s="118">
        <f t="shared" si="52"/>
        <v>124</v>
      </c>
      <c r="C132" s="21" t="s">
        <v>543</v>
      </c>
      <c r="E132" s="22">
        <f>+E87</f>
        <v>83833800</v>
      </c>
      <c r="F132" s="118"/>
      <c r="G132" s="22">
        <f t="shared" ref="G132:O132" si="117">+G87</f>
        <v>1254365</v>
      </c>
      <c r="H132" s="22">
        <f t="shared" si="117"/>
        <v>4189928</v>
      </c>
      <c r="I132" s="22">
        <f t="shared" si="117"/>
        <v>10761837</v>
      </c>
      <c r="J132" s="22">
        <f t="shared" si="117"/>
        <v>0</v>
      </c>
      <c r="K132" s="22">
        <f t="shared" si="117"/>
        <v>37075579</v>
      </c>
      <c r="L132" s="22">
        <f t="shared" si="117"/>
        <v>0</v>
      </c>
      <c r="M132" s="22">
        <f t="shared" si="117"/>
        <v>0</v>
      </c>
      <c r="N132" s="22">
        <f t="shared" si="117"/>
        <v>0</v>
      </c>
      <c r="O132" s="22">
        <f t="shared" si="117"/>
        <v>30552091</v>
      </c>
      <c r="Q132" s="8">
        <f>+O132+M132+K132+I132+G132</f>
        <v>79643872</v>
      </c>
      <c r="R132" s="8">
        <f>+N132+L132+J132+H132</f>
        <v>4189928</v>
      </c>
      <c r="S132" s="17">
        <f>Q132+R132</f>
        <v>83833800</v>
      </c>
      <c r="U132" s="118"/>
      <c r="V132" s="22">
        <f t="shared" ref="V132:AD132" si="118">+V87</f>
        <v>113520.0325</v>
      </c>
      <c r="W132" s="22">
        <f t="shared" si="118"/>
        <v>375943.69699999999</v>
      </c>
      <c r="X132" s="22">
        <f t="shared" si="118"/>
        <v>969715.37349999999</v>
      </c>
      <c r="Y132" s="22">
        <f t="shared" si="118"/>
        <v>0</v>
      </c>
      <c r="Z132" s="22">
        <f t="shared" si="118"/>
        <v>3355339.8994999998</v>
      </c>
      <c r="AA132" s="22">
        <f t="shared" si="118"/>
        <v>0</v>
      </c>
      <c r="AB132" s="22">
        <f t="shared" si="118"/>
        <v>0</v>
      </c>
      <c r="AC132" s="22">
        <f t="shared" si="118"/>
        <v>0</v>
      </c>
      <c r="AD132" s="22">
        <f t="shared" si="118"/>
        <v>79019280.997500002</v>
      </c>
      <c r="AF132" s="8">
        <f t="shared" ref="AF132:AG134" si="119">+AB132+Z132+X132+V132</f>
        <v>4438575.3054999998</v>
      </c>
      <c r="AG132" s="8">
        <f t="shared" si="119"/>
        <v>375943.69699999999</v>
      </c>
      <c r="AH132" s="67">
        <f>+AF132+AG132+AD132</f>
        <v>83833800</v>
      </c>
    </row>
    <row r="133" spans="1:34" x14ac:dyDescent="0.45">
      <c r="A133" s="118">
        <f t="shared" si="52"/>
        <v>125</v>
      </c>
      <c r="C133" s="21" t="s">
        <v>846</v>
      </c>
      <c r="E133" s="22">
        <f>-(E63+E64+E86)</f>
        <v>-473378</v>
      </c>
      <c r="F133" s="151"/>
      <c r="G133" s="22">
        <f t="shared" ref="G133:O133" si="120">-(G63+G64+G86)</f>
        <v>-9730</v>
      </c>
      <c r="H133" s="22">
        <f t="shared" si="120"/>
        <v>-16500</v>
      </c>
      <c r="I133" s="22">
        <f t="shared" si="120"/>
        <v>0</v>
      </c>
      <c r="J133" s="22">
        <f t="shared" si="120"/>
        <v>0</v>
      </c>
      <c r="K133" s="22">
        <f t="shared" si="120"/>
        <v>-82709</v>
      </c>
      <c r="L133" s="22">
        <f t="shared" si="120"/>
        <v>0</v>
      </c>
      <c r="M133" s="22">
        <f t="shared" si="120"/>
        <v>0</v>
      </c>
      <c r="N133" s="22">
        <f t="shared" si="120"/>
        <v>0</v>
      </c>
      <c r="O133" s="22">
        <f t="shared" si="120"/>
        <v>-364439</v>
      </c>
      <c r="Q133" s="8">
        <f>+O133+M133+K133+I133+G133</f>
        <v>-456878</v>
      </c>
      <c r="R133" s="8">
        <f>+N133+L133+J133+H133</f>
        <v>-16500</v>
      </c>
      <c r="S133" s="17">
        <f>Q133+R133</f>
        <v>-473378</v>
      </c>
      <c r="U133" s="151"/>
      <c r="V133" s="22">
        <f t="shared" ref="V133:AD133" si="121">-(V63+V64+V86)</f>
        <v>-880.56499999999994</v>
      </c>
      <c r="W133" s="22">
        <f t="shared" si="121"/>
        <v>-1493.25</v>
      </c>
      <c r="X133" s="22">
        <f t="shared" si="121"/>
        <v>0</v>
      </c>
      <c r="Y133" s="22">
        <f t="shared" si="121"/>
        <v>0</v>
      </c>
      <c r="Z133" s="22">
        <f t="shared" si="121"/>
        <v>-7485.1644999999999</v>
      </c>
      <c r="AA133" s="22">
        <f t="shared" si="121"/>
        <v>0</v>
      </c>
      <c r="AB133" s="22">
        <f t="shared" si="121"/>
        <v>0</v>
      </c>
      <c r="AC133" s="22">
        <f t="shared" si="121"/>
        <v>0</v>
      </c>
      <c r="AD133" s="22">
        <f t="shared" si="121"/>
        <v>-463519.02049999998</v>
      </c>
      <c r="AF133" s="8">
        <f t="shared" si="119"/>
        <v>-8365.7294999999995</v>
      </c>
      <c r="AG133" s="8">
        <f t="shared" si="119"/>
        <v>-1493.25</v>
      </c>
      <c r="AH133" s="67">
        <f>+AF133+AG133+AD133</f>
        <v>-473378</v>
      </c>
    </row>
    <row r="134" spans="1:34" x14ac:dyDescent="0.45">
      <c r="A134" s="118">
        <f t="shared" si="52"/>
        <v>126</v>
      </c>
      <c r="C134" s="21" t="s">
        <v>847</v>
      </c>
      <c r="E134" s="22">
        <f>E132+E133</f>
        <v>83360422</v>
      </c>
      <c r="F134" s="118"/>
      <c r="G134" s="22">
        <f t="shared" ref="G134" si="122">G132+G133</f>
        <v>1244635</v>
      </c>
      <c r="H134" s="22">
        <f t="shared" ref="H134" si="123">H132+H133</f>
        <v>4173428</v>
      </c>
      <c r="I134" s="22">
        <f t="shared" ref="I134" si="124">I132+I133</f>
        <v>10761837</v>
      </c>
      <c r="J134" s="22">
        <f t="shared" ref="J134" si="125">J132+J133</f>
        <v>0</v>
      </c>
      <c r="K134" s="22">
        <f t="shared" ref="K134" si="126">K132+K133</f>
        <v>36992870</v>
      </c>
      <c r="L134" s="22">
        <f t="shared" ref="L134" si="127">L132+L133</f>
        <v>0</v>
      </c>
      <c r="M134" s="22">
        <f t="shared" ref="M134" si="128">M132+M133</f>
        <v>0</v>
      </c>
      <c r="N134" s="22">
        <f t="shared" ref="N134" si="129">N132+N133</f>
        <v>0</v>
      </c>
      <c r="O134" s="22">
        <f t="shared" ref="O134" si="130">O132+O133</f>
        <v>30187652</v>
      </c>
      <c r="Q134" s="8">
        <f>+O134+M134+K134+I134+G134</f>
        <v>79186994</v>
      </c>
      <c r="R134" s="8">
        <f>+N134+L134+J134+H134</f>
        <v>4173428</v>
      </c>
      <c r="S134" s="17">
        <f>Q134+R134</f>
        <v>83360422</v>
      </c>
      <c r="U134" s="118"/>
      <c r="V134" s="22">
        <f t="shared" ref="V134" si="131">V132+V133</f>
        <v>112639.4675</v>
      </c>
      <c r="W134" s="22">
        <f t="shared" ref="W134" si="132">W132+W133</f>
        <v>374450.44699999999</v>
      </c>
      <c r="X134" s="22">
        <f t="shared" ref="X134" si="133">X132+X133</f>
        <v>969715.37349999999</v>
      </c>
      <c r="Y134" s="22">
        <f t="shared" ref="Y134" si="134">Y132+Y133</f>
        <v>0</v>
      </c>
      <c r="Z134" s="22">
        <f t="shared" ref="Z134" si="135">Z132+Z133</f>
        <v>3347854.7349999999</v>
      </c>
      <c r="AA134" s="22">
        <f t="shared" ref="AA134" si="136">AA132+AA133</f>
        <v>0</v>
      </c>
      <c r="AB134" s="22">
        <f t="shared" ref="AB134" si="137">AB132+AB133</f>
        <v>0</v>
      </c>
      <c r="AC134" s="22">
        <f t="shared" ref="AC134" si="138">AC132+AC133</f>
        <v>0</v>
      </c>
      <c r="AD134" s="22">
        <f t="shared" ref="AD134" si="139">AD132+AD133</f>
        <v>78555761.976999998</v>
      </c>
      <c r="AF134" s="8">
        <f t="shared" si="119"/>
        <v>4430209.5760000004</v>
      </c>
      <c r="AG134" s="8">
        <f t="shared" si="119"/>
        <v>374450.44699999999</v>
      </c>
      <c r="AH134" s="67">
        <f>+AF134+AG134+AD134</f>
        <v>83360422</v>
      </c>
    </row>
    <row r="135" spans="1:34" x14ac:dyDescent="0.45">
      <c r="A135" s="118">
        <f t="shared" si="52"/>
        <v>127</v>
      </c>
      <c r="C135" s="21" t="s">
        <v>676</v>
      </c>
      <c r="F135" s="118">
        <v>203</v>
      </c>
      <c r="G135" s="13">
        <f>IFERROR(G134/($G$134+$H$134),0)</f>
        <v>0.22971955106465169</v>
      </c>
      <c r="H135" s="13">
        <f>IFERROR(H134/($G$134+$H$134),0)</f>
        <v>0.77028044893534831</v>
      </c>
      <c r="I135" s="13">
        <f>IFERROR(I134/($I$134+$J$134),0)</f>
        <v>1</v>
      </c>
      <c r="J135" s="13">
        <f>IFERROR(J134/($I$134+$J$134),0)</f>
        <v>0</v>
      </c>
      <c r="K135" s="13">
        <f>IFERROR(K134/($K$134+$L$134),0)</f>
        <v>1</v>
      </c>
      <c r="L135" s="13">
        <f>IFERROR(L134/($K$134+$L$134),0)</f>
        <v>0</v>
      </c>
      <c r="M135" s="13">
        <f>IFERROR(M134/($N$134+$M$134),0)</f>
        <v>0</v>
      </c>
      <c r="N135" s="13">
        <f>IFERROR(N134/($N$134+$M$134),0)</f>
        <v>0</v>
      </c>
      <c r="O135" s="13">
        <f>IFERROR(O134/($O$134),0)</f>
        <v>1</v>
      </c>
      <c r="Q135" s="13">
        <f>IFERROR(Q134/($R$134+$Q$134),0)</f>
        <v>0.94993513828420884</v>
      </c>
      <c r="R135" s="13">
        <f>IFERROR(R134/($R$134+$Q$134),0)</f>
        <v>5.006486171579122E-2</v>
      </c>
      <c r="U135" s="118">
        <v>215</v>
      </c>
      <c r="V135" s="13">
        <f>IFERROR(V134/($V$134+$W$134),0)</f>
        <v>0.23124984555597899</v>
      </c>
      <c r="W135" s="13">
        <f>IFERROR(W134/($V$134+$W$134),0)</f>
        <v>0.76875015444402106</v>
      </c>
      <c r="X135" s="13">
        <f>IFERROR(X134/($X$134+$Y$134),0)</f>
        <v>1</v>
      </c>
      <c r="Y135" s="13">
        <f>IFERROR(Y134/($X$134+$Y$134),0)</f>
        <v>0</v>
      </c>
      <c r="Z135" s="13">
        <f>IFERROR(Z134/($Z$134+$AA$134),0)</f>
        <v>1</v>
      </c>
      <c r="AA135" s="13">
        <f>IFERROR(AA134/($Z$134+$AA$134),0)</f>
        <v>0</v>
      </c>
      <c r="AB135" s="13">
        <f>IFERROR(AB134/($AB$134+$AC$134),0)</f>
        <v>0</v>
      </c>
      <c r="AC135" s="13">
        <f>IFERROR(AC134/($AB$134+$AC$134),0)</f>
        <v>0</v>
      </c>
      <c r="AD135" s="13">
        <f>IFERROR(AD134/($AD$134),0)</f>
        <v>1</v>
      </c>
      <c r="AF135" s="13">
        <f>IFERROR(AF134/($AF$134+$AG$134),0)</f>
        <v>0.92206515232971775</v>
      </c>
      <c r="AG135" s="13">
        <f>IFERROR(AG134/($AF$134+$AG$134),0)</f>
        <v>7.793484767028229E-2</v>
      </c>
      <c r="AH135" s="13"/>
    </row>
    <row r="136" spans="1:34" x14ac:dyDescent="0.45">
      <c r="A136" s="118">
        <f t="shared" si="52"/>
        <v>128</v>
      </c>
      <c r="F136" s="118"/>
      <c r="U136" s="118"/>
    </row>
    <row r="137" spans="1:34" x14ac:dyDescent="0.45">
      <c r="A137" s="118">
        <f t="shared" si="52"/>
        <v>129</v>
      </c>
      <c r="C137" s="21" t="s">
        <v>678</v>
      </c>
      <c r="E137" s="22">
        <f>+E67+E68</f>
        <v>83277532</v>
      </c>
      <c r="F137" s="118"/>
      <c r="G137" s="22">
        <f t="shared" ref="G137:O137" si="140">+G67+G68</f>
        <v>1244635</v>
      </c>
      <c r="H137" s="22">
        <f t="shared" si="140"/>
        <v>4137574</v>
      </c>
      <c r="I137" s="22">
        <f t="shared" si="140"/>
        <v>10715087</v>
      </c>
      <c r="J137" s="22">
        <f t="shared" si="140"/>
        <v>0</v>
      </c>
      <c r="K137" s="22">
        <f t="shared" si="140"/>
        <v>36992870</v>
      </c>
      <c r="L137" s="22">
        <f t="shared" si="140"/>
        <v>0</v>
      </c>
      <c r="M137" s="22">
        <f t="shared" si="140"/>
        <v>0</v>
      </c>
      <c r="N137" s="22">
        <f t="shared" si="140"/>
        <v>0</v>
      </c>
      <c r="O137" s="22">
        <f t="shared" si="140"/>
        <v>30187366</v>
      </c>
      <c r="Q137" s="8">
        <f>+O137+M137+K137+I137+G137</f>
        <v>79139958</v>
      </c>
      <c r="R137" s="8">
        <f>+N137+L137+J137+H137</f>
        <v>4137574</v>
      </c>
      <c r="S137" s="17">
        <f>Q137+R137</f>
        <v>83277532</v>
      </c>
      <c r="U137" s="118"/>
      <c r="V137" s="22">
        <f t="shared" ref="V137:AD137" si="141">+V67+V68</f>
        <v>112639.4675</v>
      </c>
      <c r="W137" s="22">
        <f t="shared" si="141"/>
        <v>374450.44699999999</v>
      </c>
      <c r="X137" s="22">
        <f t="shared" si="141"/>
        <v>969715.37349999999</v>
      </c>
      <c r="Y137" s="22">
        <f t="shared" si="141"/>
        <v>0</v>
      </c>
      <c r="Z137" s="22">
        <f t="shared" si="141"/>
        <v>3347854.7349999999</v>
      </c>
      <c r="AA137" s="22">
        <f t="shared" si="141"/>
        <v>0</v>
      </c>
      <c r="AB137" s="22">
        <f t="shared" si="141"/>
        <v>0</v>
      </c>
      <c r="AC137" s="22">
        <f t="shared" si="141"/>
        <v>0</v>
      </c>
      <c r="AD137" s="22">
        <f t="shared" si="141"/>
        <v>78472871.976999998</v>
      </c>
      <c r="AF137" s="8">
        <f>+AB137+Z137+X137+V137</f>
        <v>4430209.5760000004</v>
      </c>
      <c r="AG137" s="8">
        <f>+AC137+AA137+Y137+W137</f>
        <v>374450.44699999999</v>
      </c>
      <c r="AH137" s="67">
        <f>+AF137+AG137+AD137</f>
        <v>83277532</v>
      </c>
    </row>
    <row r="138" spans="1:34" x14ac:dyDescent="0.45">
      <c r="A138" s="118">
        <f t="shared" si="52"/>
        <v>130</v>
      </c>
      <c r="C138" s="21" t="s">
        <v>676</v>
      </c>
      <c r="F138" s="118">
        <v>210</v>
      </c>
      <c r="G138" s="13">
        <f>IFERROR(G137/($G$137+$H$137),0)</f>
        <v>0.23124984555597897</v>
      </c>
      <c r="H138" s="13">
        <f>IFERROR(H137/($G$137+$H$137),0)</f>
        <v>0.76875015444402106</v>
      </c>
      <c r="I138" s="13">
        <f>IFERROR(I137/($I$137+$J$137),0)</f>
        <v>1</v>
      </c>
      <c r="J138" s="13">
        <f>IFERROR(J137/($I$137+$J$137),0)</f>
        <v>0</v>
      </c>
      <c r="K138" s="13">
        <f>IFERROR(K137/($K$137+$L$137),0)</f>
        <v>1</v>
      </c>
      <c r="L138" s="13">
        <f>IFERROR(L137/($K$137+$L$137),0)</f>
        <v>0</v>
      </c>
      <c r="M138" s="13">
        <f>IFERROR(M137/($N$137+$M$137),0)</f>
        <v>0</v>
      </c>
      <c r="N138" s="13">
        <f>IFERROR(N137/($N$137+$M$137),0)</f>
        <v>0</v>
      </c>
      <c r="O138" s="13">
        <f>IFERROR(O137/($O$137),0)</f>
        <v>1</v>
      </c>
      <c r="Q138" s="13">
        <f>IFERROR(Q137/($R$137+$Q$137),0)</f>
        <v>0.95031584269332092</v>
      </c>
      <c r="R138" s="13">
        <f>IFERROR(R137/($R$137+$Q$137),0)</f>
        <v>4.9684157306679071E-2</v>
      </c>
      <c r="U138" s="118">
        <v>216</v>
      </c>
      <c r="V138" s="13">
        <f>IFERROR(V137/($V$137+$W$137),0)</f>
        <v>0.23124984555597899</v>
      </c>
      <c r="W138" s="13">
        <f>IFERROR(W137/($V$137+$W$137),0)</f>
        <v>0.76875015444402106</v>
      </c>
      <c r="X138" s="13">
        <f>IFERROR(X137/($X$137+$Y$137),0)</f>
        <v>1</v>
      </c>
      <c r="Y138" s="13">
        <f>IFERROR(Y137/($X$137+$Y$137),0)</f>
        <v>0</v>
      </c>
      <c r="Z138" s="13">
        <f>IFERROR(Z137/($Z$137+$AA$137),0)</f>
        <v>1</v>
      </c>
      <c r="AA138" s="13">
        <f>IFERROR(AA137/($Z$137+$AA$137),0)</f>
        <v>0</v>
      </c>
      <c r="AB138" s="13">
        <f>IFERROR(AB137/($AB$137+$AC$137),0)</f>
        <v>0</v>
      </c>
      <c r="AC138" s="13">
        <f>IFERROR(AC137/($AB$137+$AC$137),0)</f>
        <v>0</v>
      </c>
      <c r="AD138" s="13">
        <f>IFERROR(AD137/($AD$137),0)</f>
        <v>1</v>
      </c>
      <c r="AF138" s="13">
        <f>IFERROR(AF137/($AF$137+$AG$137),0)</f>
        <v>0.92206515232971775</v>
      </c>
      <c r="AG138" s="13">
        <f>IFERROR(AG137/($AF$137+$AG$137),0)</f>
        <v>7.793484767028229E-2</v>
      </c>
      <c r="AH138" s="13"/>
    </row>
    <row r="139" spans="1:34" x14ac:dyDescent="0.45">
      <c r="A139" s="118">
        <f t="shared" si="52"/>
        <v>131</v>
      </c>
      <c r="U139" s="118"/>
    </row>
    <row r="140" spans="1:34" x14ac:dyDescent="0.45">
      <c r="A140" s="118">
        <f t="shared" si="52"/>
        <v>132</v>
      </c>
      <c r="C140" s="21" t="s">
        <v>682</v>
      </c>
      <c r="E140" s="22">
        <f>+E126+E134</f>
        <v>124655654</v>
      </c>
      <c r="G140" s="22">
        <f t="shared" ref="G140:O140" si="142">+G126+G134</f>
        <v>5306220.3008595984</v>
      </c>
      <c r="H140" s="22">
        <f t="shared" si="142"/>
        <v>5359537.5042979941</v>
      </c>
      <c r="I140" s="22">
        <f t="shared" si="142"/>
        <v>25335632.504297994</v>
      </c>
      <c r="J140" s="22">
        <f t="shared" si="142"/>
        <v>0</v>
      </c>
      <c r="K140" s="22">
        <f t="shared" si="142"/>
        <v>48933476.114613183</v>
      </c>
      <c r="L140" s="22">
        <f t="shared" si="142"/>
        <v>0</v>
      </c>
      <c r="M140" s="22">
        <f t="shared" si="142"/>
        <v>0</v>
      </c>
      <c r="N140" s="22">
        <f t="shared" si="142"/>
        <v>0</v>
      </c>
      <c r="O140" s="22">
        <f t="shared" si="142"/>
        <v>39720787.575931236</v>
      </c>
      <c r="Q140" s="8">
        <f>+O140+M140+K140+I140+G140</f>
        <v>119296116.49570203</v>
      </c>
      <c r="R140" s="8">
        <f>+N140+L140+J140+H140</f>
        <v>5359537.5042979941</v>
      </c>
      <c r="S140" s="17">
        <f>Q140+R140</f>
        <v>124655654.00000003</v>
      </c>
      <c r="U140" s="118"/>
      <c r="V140" s="22">
        <f t="shared" ref="V140:AC140" si="143">+V126+V134</f>
        <v>4174224.7683595987</v>
      </c>
      <c r="W140" s="22">
        <f t="shared" si="143"/>
        <v>1560559.9512979942</v>
      </c>
      <c r="X140" s="22">
        <f t="shared" si="143"/>
        <v>15543510.877797995</v>
      </c>
      <c r="Y140" s="22">
        <f t="shared" si="143"/>
        <v>0</v>
      </c>
      <c r="Z140" s="22">
        <f t="shared" si="143"/>
        <v>15288460.84961318</v>
      </c>
      <c r="AA140" s="22">
        <f t="shared" si="143"/>
        <v>0</v>
      </c>
      <c r="AB140" s="22">
        <f t="shared" si="143"/>
        <v>0</v>
      </c>
      <c r="AC140" s="22">
        <f t="shared" si="143"/>
        <v>0</v>
      </c>
      <c r="AD140" s="22">
        <f>+AD126+AD134</f>
        <v>88088897.552931234</v>
      </c>
      <c r="AF140" s="8">
        <f>+AB140+Z140+X140+V140</f>
        <v>35006196.495770775</v>
      </c>
      <c r="AG140" s="8">
        <f>+AC140+AA140+Y140+W140</f>
        <v>1560559.9512979942</v>
      </c>
      <c r="AH140" s="67">
        <f>+AF140+AG140+AD140</f>
        <v>124655654</v>
      </c>
    </row>
    <row r="141" spans="1:34" x14ac:dyDescent="0.45">
      <c r="A141" s="118">
        <f t="shared" si="52"/>
        <v>133</v>
      </c>
      <c r="C141" s="21" t="s">
        <v>676</v>
      </c>
      <c r="F141" s="118">
        <v>205</v>
      </c>
      <c r="G141" s="13">
        <f>IFERROR(G140/($G$140+$H$140),0)</f>
        <v>0.49750054312068603</v>
      </c>
      <c r="H141" s="13">
        <f>IFERROR(H140/($G$140+$H$140),0)</f>
        <v>0.50249945687931397</v>
      </c>
      <c r="I141" s="13">
        <f>IFERROR(I140/($I$140+$J$140),0)</f>
        <v>1</v>
      </c>
      <c r="J141" s="13">
        <f>IFERROR(J140/($I$140+$J$140),0)</f>
        <v>0</v>
      </c>
      <c r="K141" s="13">
        <f>IFERROR(K140/($K$140+$L$140),0)</f>
        <v>1</v>
      </c>
      <c r="L141" s="13">
        <f>IFERROR(L140/($K$140+$L$140),0)</f>
        <v>0</v>
      </c>
      <c r="M141" s="13">
        <f>IFERROR(M140/($N$140+$M$140),0)</f>
        <v>0</v>
      </c>
      <c r="N141" s="13">
        <f>IFERROR(N140/($N$140+$M$140),0)</f>
        <v>0</v>
      </c>
      <c r="O141" s="13">
        <f>IFERROR(O140/($O$140),0)</f>
        <v>1</v>
      </c>
      <c r="Q141" s="13">
        <f>IFERROR(Q140/($R$140+$Q$140),0)</f>
        <v>0.95700525943012582</v>
      </c>
      <c r="R141" s="13">
        <f>IFERROR(R140/($R$140+$Q$140),0)</f>
        <v>4.2994740569874131E-2</v>
      </c>
      <c r="U141" s="118">
        <v>217</v>
      </c>
      <c r="V141" s="13">
        <f>IFERROR(V140/($V$140+$W$140),0)</f>
        <v>0.72787819812159049</v>
      </c>
      <c r="W141" s="13">
        <f>IFERROR(W140/($V$140+$W$140),0)</f>
        <v>0.27212180187840962</v>
      </c>
      <c r="X141" s="13">
        <f>IFERROR(X140/($X$140+$Y$140),0)</f>
        <v>1</v>
      </c>
      <c r="Y141" s="13">
        <f>IFERROR(Y140/($X$140+$Y$140),0)</f>
        <v>0</v>
      </c>
      <c r="Z141" s="13">
        <f>IFERROR(Z140/($Z$140+$AA$140),0)</f>
        <v>1</v>
      </c>
      <c r="AA141" s="13">
        <f>IFERROR(AA140/($Z$140+$AA$140),0)</f>
        <v>0</v>
      </c>
      <c r="AB141" s="13">
        <f>IFERROR(AB140/($AB$140+$AC$140),0)</f>
        <v>0</v>
      </c>
      <c r="AC141" s="13">
        <f>IFERROR(AC140/($AB$140+$AC$140),0)</f>
        <v>0</v>
      </c>
      <c r="AD141" s="13">
        <f>IFERROR(AD140/($AD$140),0)</f>
        <v>1</v>
      </c>
      <c r="AF141" s="13">
        <f>IFERROR(AF140/($AG$140+$AF$140),0)</f>
        <v>0.95732298669812466</v>
      </c>
      <c r="AG141" s="13">
        <f>IFERROR(AG140/($AG$140+$AF$140),0)</f>
        <v>4.2677013301875469E-2</v>
      </c>
      <c r="AH141" s="13"/>
    </row>
    <row r="143" spans="1:34" x14ac:dyDescent="0.45">
      <c r="E143" s="13"/>
    </row>
    <row r="144" spans="1:34" x14ac:dyDescent="0.45">
      <c r="E144" s="13"/>
    </row>
  </sheetData>
  <mergeCells count="10">
    <mergeCell ref="V6:W6"/>
    <mergeCell ref="X6:Y6"/>
    <mergeCell ref="Z6:AA6"/>
    <mergeCell ref="AB6:AC6"/>
    <mergeCell ref="A1:S1"/>
    <mergeCell ref="A2:S2"/>
    <mergeCell ref="M6:N6"/>
    <mergeCell ref="G6:H6"/>
    <mergeCell ref="I6:J6"/>
    <mergeCell ref="K6:L6"/>
  </mergeCells>
  <printOptions horizontalCentered="1"/>
  <pageMargins left="0" right="0" top="0.75" bottom="0.75" header="0.3" footer="0.3"/>
  <pageSetup scale="39" fitToHeight="0" orientation="landscape" horizontalDpi="1200" verticalDpi="1200" r:id="rId1"/>
  <headerFooter>
    <oddHeader xml:space="preserve">&amp;R&amp;12Schedule B-1.0&amp;11
</oddHeader>
    <oddFooter>&amp;R&amp;12Page &amp;P of &amp;N</oddFooter>
  </headerFooter>
  <rowBreaks count="2" manualBreakCount="2">
    <brk id="61" max="34" man="1"/>
    <brk id="115" max="34" man="1"/>
  </rowBreaks>
  <colBreaks count="1" manualBreakCount="1">
    <brk id="20" min="8" max="140" man="1"/>
  </colBreaks>
  <ignoredErrors>
    <ignoredError sqref="E13 E59 E39 E64" formulaRange="1"/>
    <ignoredError sqref="E45 E41 E43 E47:E57 E66 E68:E80" formula="1" formulaRange="1"/>
    <ignoredError sqref="E40 E46 E58 E6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T300"/>
  <sheetViews>
    <sheetView zoomScaleNormal="100" workbookViewId="0">
      <pane xSplit="5" ySplit="8" topLeftCell="V9" activePane="bottomRight" state="frozen"/>
      <selection pane="topRight" activeCell="F1" sqref="F1"/>
      <selection pane="bottomLeft" activeCell="A9" sqref="A9"/>
      <selection pane="bottomRight" activeCell="AI243" sqref="AI243"/>
    </sheetView>
  </sheetViews>
  <sheetFormatPr defaultColWidth="9.1328125" defaultRowHeight="14.25" x14ac:dyDescent="0.45"/>
  <cols>
    <col min="1" max="1" width="5.265625" style="21" customWidth="1"/>
    <col min="2" max="2" width="8.73046875" style="21" customWidth="1"/>
    <col min="3" max="3" width="55.86328125" style="21" bestFit="1" customWidth="1"/>
    <col min="4" max="4" width="16.3984375" style="21" bestFit="1" customWidth="1"/>
    <col min="5" max="5" width="14.73046875" style="21" bestFit="1" customWidth="1"/>
    <col min="6" max="6" width="5.86328125" style="73" bestFit="1" customWidth="1"/>
    <col min="7" max="10" width="13.3984375" style="21" customWidth="1"/>
    <col min="11" max="11" width="14.73046875" style="21" bestFit="1" customWidth="1"/>
    <col min="12" max="12" width="6.73046875" style="73" hidden="1" customWidth="1"/>
    <col min="13" max="13" width="2.1328125" style="21" customWidth="1"/>
    <col min="14" max="14" width="6.59765625" style="73" bestFit="1" customWidth="1"/>
    <col min="15" max="16" width="10.73046875" style="21" customWidth="1"/>
    <col min="17" max="17" width="12.265625" style="21" bestFit="1" customWidth="1"/>
    <col min="18" max="18" width="10.73046875" style="21" customWidth="1"/>
    <col min="19" max="19" width="12.265625" style="21" bestFit="1" customWidth="1"/>
    <col min="20" max="22" width="10.73046875" style="21" customWidth="1"/>
    <col min="23" max="23" width="14.73046875" style="21" bestFit="1" customWidth="1"/>
    <col min="24" max="24" width="2.1328125" style="21" customWidth="1"/>
    <col min="25" max="25" width="13.265625" style="21" bestFit="1" customWidth="1"/>
    <col min="26" max="26" width="12.1328125" style="21" bestFit="1" customWidth="1"/>
    <col min="27" max="27" width="14.73046875" style="21" bestFit="1" customWidth="1"/>
    <col min="28" max="28" width="9.59765625" style="73" hidden="1" customWidth="1"/>
    <col min="29" max="29" width="2.1328125" style="21" customWidth="1"/>
    <col min="30" max="30" width="6.59765625" style="73" bestFit="1" customWidth="1"/>
    <col min="31" max="31" width="11.73046875" style="21" bestFit="1" customWidth="1"/>
    <col min="32" max="32" width="13" style="21" bestFit="1" customWidth="1"/>
    <col min="33" max="33" width="12.59765625" style="21" bestFit="1" customWidth="1"/>
    <col min="34" max="34" width="13" style="21" bestFit="1" customWidth="1"/>
    <col min="35" max="35" width="11.73046875" style="21" bestFit="1" customWidth="1"/>
    <col min="36" max="36" width="13" style="21" bestFit="1" customWidth="1"/>
    <col min="37" max="37" width="11.73046875" style="21" bestFit="1" customWidth="1"/>
    <col min="38" max="38" width="13" style="21" bestFit="1" customWidth="1"/>
    <col min="39" max="39" width="14.73046875" style="21" bestFit="1" customWidth="1"/>
    <col min="40" max="40" width="2.1328125" style="21" customWidth="1"/>
    <col min="41" max="41" width="13.265625" style="21" bestFit="1" customWidth="1"/>
    <col min="42" max="42" width="11.86328125" style="21" bestFit="1" customWidth="1"/>
    <col min="43" max="43" width="14.73046875" style="21" bestFit="1" customWidth="1"/>
    <col min="44" max="44" width="10.59765625" style="73" hidden="1" customWidth="1"/>
    <col min="45" max="16384" width="9.1328125" style="21"/>
  </cols>
  <sheetData>
    <row r="1" spans="1:46" x14ac:dyDescent="0.45">
      <c r="A1" s="174" t="s">
        <v>27</v>
      </c>
      <c r="B1" s="174"/>
      <c r="C1" s="174"/>
      <c r="D1" s="174"/>
      <c r="E1" s="174"/>
      <c r="F1" s="174"/>
      <c r="G1" s="174"/>
      <c r="H1" s="174"/>
      <c r="I1" s="174"/>
      <c r="J1" s="174"/>
      <c r="K1" s="174"/>
      <c r="L1" s="88"/>
      <c r="M1" s="136"/>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row>
    <row r="2" spans="1:46" x14ac:dyDescent="0.45">
      <c r="A2" s="174" t="s">
        <v>860</v>
      </c>
      <c r="B2" s="174"/>
      <c r="C2" s="174"/>
      <c r="D2" s="174"/>
      <c r="E2" s="174"/>
      <c r="F2" s="174"/>
      <c r="G2" s="174"/>
      <c r="H2" s="174"/>
      <c r="I2" s="174"/>
      <c r="J2" s="174"/>
      <c r="K2" s="174"/>
      <c r="L2" s="88"/>
      <c r="M2" s="136"/>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row>
    <row r="4" spans="1:46" x14ac:dyDescent="0.45">
      <c r="B4" s="14" t="s">
        <v>836</v>
      </c>
      <c r="E4" s="135" t="s">
        <v>509</v>
      </c>
      <c r="F4" s="74" t="s">
        <v>510</v>
      </c>
      <c r="G4" s="135" t="s">
        <v>511</v>
      </c>
      <c r="H4" s="135" t="s">
        <v>512</v>
      </c>
      <c r="I4" s="135" t="s">
        <v>513</v>
      </c>
      <c r="J4" s="135" t="s">
        <v>514</v>
      </c>
      <c r="K4" s="135" t="s">
        <v>515</v>
      </c>
      <c r="L4" s="74"/>
      <c r="M4" s="135"/>
      <c r="N4" s="74" t="s">
        <v>516</v>
      </c>
      <c r="O4" s="74" t="s">
        <v>548</v>
      </c>
      <c r="P4" s="135" t="s">
        <v>549</v>
      </c>
      <c r="Q4" s="135" t="s">
        <v>550</v>
      </c>
      <c r="R4" s="135" t="s">
        <v>644</v>
      </c>
      <c r="S4" s="135" t="s">
        <v>645</v>
      </c>
      <c r="T4" s="135" t="s">
        <v>646</v>
      </c>
      <c r="U4" s="135" t="s">
        <v>647</v>
      </c>
      <c r="V4" s="135" t="s">
        <v>754</v>
      </c>
      <c r="W4" s="135" t="s">
        <v>688</v>
      </c>
      <c r="X4" s="135"/>
      <c r="Y4" s="135" t="s">
        <v>689</v>
      </c>
      <c r="Z4" s="135" t="s">
        <v>690</v>
      </c>
      <c r="AA4" s="135" t="s">
        <v>691</v>
      </c>
      <c r="AB4" s="74"/>
      <c r="AD4" s="74" t="s">
        <v>692</v>
      </c>
      <c r="AE4" s="74" t="s">
        <v>693</v>
      </c>
      <c r="AF4" s="135" t="s">
        <v>694</v>
      </c>
      <c r="AG4" s="135" t="s">
        <v>695</v>
      </c>
      <c r="AH4" s="135" t="s">
        <v>696</v>
      </c>
      <c r="AI4" s="135" t="s">
        <v>697</v>
      </c>
      <c r="AJ4" s="135" t="s">
        <v>698</v>
      </c>
      <c r="AK4" s="135" t="s">
        <v>740</v>
      </c>
      <c r="AL4" s="135" t="s">
        <v>741</v>
      </c>
      <c r="AM4" s="135" t="s">
        <v>755</v>
      </c>
      <c r="AO4" s="135" t="s">
        <v>756</v>
      </c>
      <c r="AP4" s="135" t="s">
        <v>757</v>
      </c>
      <c r="AQ4" s="135" t="s">
        <v>758</v>
      </c>
      <c r="AR4" s="74"/>
    </row>
    <row r="5" spans="1:46" x14ac:dyDescent="0.45">
      <c r="G5" s="173"/>
      <c r="H5" s="173"/>
      <c r="I5" s="173"/>
      <c r="J5" s="173"/>
      <c r="K5" s="121"/>
      <c r="W5" s="121"/>
      <c r="AM5" s="121"/>
    </row>
    <row r="6" spans="1:46" x14ac:dyDescent="0.45">
      <c r="G6" s="120" t="s">
        <v>648</v>
      </c>
      <c r="H6" s="120" t="s">
        <v>649</v>
      </c>
      <c r="I6" s="120" t="s">
        <v>650</v>
      </c>
      <c r="J6" s="120" t="s">
        <v>753</v>
      </c>
      <c r="K6" s="120" t="s">
        <v>776</v>
      </c>
      <c r="O6" s="172" t="s">
        <v>648</v>
      </c>
      <c r="P6" s="172"/>
      <c r="Q6" s="172" t="s">
        <v>649</v>
      </c>
      <c r="R6" s="172"/>
      <c r="S6" s="172" t="s">
        <v>650</v>
      </c>
      <c r="T6" s="172"/>
      <c r="U6" s="172" t="s">
        <v>753</v>
      </c>
      <c r="V6" s="172"/>
      <c r="W6" s="120" t="s">
        <v>776</v>
      </c>
      <c r="Y6" s="121"/>
      <c r="Z6" s="121"/>
      <c r="AA6" s="121"/>
      <c r="AE6" s="172" t="s">
        <v>648</v>
      </c>
      <c r="AF6" s="172"/>
      <c r="AG6" s="172" t="s">
        <v>649</v>
      </c>
      <c r="AH6" s="172"/>
      <c r="AI6" s="172" t="s">
        <v>650</v>
      </c>
      <c r="AJ6" s="172"/>
      <c r="AK6" s="172" t="s">
        <v>753</v>
      </c>
      <c r="AL6" s="172"/>
      <c r="AM6" s="120" t="s">
        <v>776</v>
      </c>
      <c r="AO6" s="121"/>
      <c r="AP6" s="121"/>
      <c r="AQ6" s="121"/>
      <c r="AT6" s="21" t="s">
        <v>747</v>
      </c>
    </row>
    <row r="7" spans="1:46" x14ac:dyDescent="0.45">
      <c r="B7" s="34"/>
      <c r="C7" s="34"/>
      <c r="D7" s="34"/>
      <c r="E7" s="118" t="s">
        <v>547</v>
      </c>
      <c r="F7" s="118" t="s">
        <v>140</v>
      </c>
      <c r="G7" s="118" t="s">
        <v>551</v>
      </c>
      <c r="H7" s="118" t="s">
        <v>551</v>
      </c>
      <c r="I7" s="118" t="s">
        <v>551</v>
      </c>
      <c r="J7" s="118" t="s">
        <v>551</v>
      </c>
      <c r="K7" s="118"/>
      <c r="L7" s="118" t="s">
        <v>663</v>
      </c>
      <c r="M7" s="135"/>
      <c r="N7" s="118" t="s">
        <v>140</v>
      </c>
      <c r="O7" s="118" t="s">
        <v>26</v>
      </c>
      <c r="P7" s="118" t="s">
        <v>34</v>
      </c>
      <c r="Q7" s="118" t="s">
        <v>26</v>
      </c>
      <c r="R7" s="118" t="s">
        <v>34</v>
      </c>
      <c r="S7" s="118" t="s">
        <v>26</v>
      </c>
      <c r="T7" s="118" t="s">
        <v>34</v>
      </c>
      <c r="U7" s="118" t="s">
        <v>26</v>
      </c>
      <c r="V7" s="118" t="s">
        <v>34</v>
      </c>
      <c r="W7" s="118"/>
      <c r="X7" s="118"/>
      <c r="Y7" s="118" t="s">
        <v>26</v>
      </c>
      <c r="Z7" s="118" t="s">
        <v>34</v>
      </c>
      <c r="AA7" s="118" t="s">
        <v>0</v>
      </c>
      <c r="AB7" s="118" t="s">
        <v>663</v>
      </c>
      <c r="AC7" s="118"/>
      <c r="AD7" s="118" t="s">
        <v>140</v>
      </c>
      <c r="AE7" s="118" t="s">
        <v>151</v>
      </c>
      <c r="AF7" s="118" t="s">
        <v>546</v>
      </c>
      <c r="AG7" s="118" t="s">
        <v>151</v>
      </c>
      <c r="AH7" s="118" t="s">
        <v>546</v>
      </c>
      <c r="AI7" s="118" t="s">
        <v>151</v>
      </c>
      <c r="AJ7" s="118" t="s">
        <v>546</v>
      </c>
      <c r="AK7" s="118" t="s">
        <v>151</v>
      </c>
      <c r="AL7" s="118" t="s">
        <v>546</v>
      </c>
      <c r="AM7" s="118"/>
      <c r="AN7" s="118"/>
      <c r="AO7" s="118" t="s">
        <v>151</v>
      </c>
      <c r="AP7" s="118" t="s">
        <v>546</v>
      </c>
      <c r="AQ7" s="118" t="s">
        <v>0</v>
      </c>
      <c r="AR7" s="118" t="s">
        <v>663</v>
      </c>
    </row>
    <row r="8" spans="1:46" x14ac:dyDescent="0.45">
      <c r="B8" s="37"/>
      <c r="C8" s="37"/>
      <c r="D8" s="34"/>
      <c r="E8" s="119" t="s">
        <v>145</v>
      </c>
      <c r="F8" s="75" t="s">
        <v>236</v>
      </c>
      <c r="G8" s="119" t="s">
        <v>145</v>
      </c>
      <c r="H8" s="119" t="s">
        <v>145</v>
      </c>
      <c r="I8" s="119" t="s">
        <v>145</v>
      </c>
      <c r="J8" s="119" t="s">
        <v>145</v>
      </c>
      <c r="K8" s="119" t="s">
        <v>145</v>
      </c>
      <c r="L8" s="75"/>
      <c r="N8" s="75" t="s">
        <v>236</v>
      </c>
      <c r="O8" s="119" t="s">
        <v>25</v>
      </c>
      <c r="P8" s="119" t="s">
        <v>109</v>
      </c>
      <c r="Q8" s="119" t="s">
        <v>25</v>
      </c>
      <c r="R8" s="119" t="s">
        <v>109</v>
      </c>
      <c r="S8" s="119" t="s">
        <v>25</v>
      </c>
      <c r="T8" s="119" t="s">
        <v>109</v>
      </c>
      <c r="U8" s="119" t="s">
        <v>25</v>
      </c>
      <c r="V8" s="119" t="s">
        <v>109</v>
      </c>
      <c r="W8" s="119" t="s">
        <v>25</v>
      </c>
      <c r="Y8" s="119" t="s">
        <v>25</v>
      </c>
      <c r="Z8" s="119" t="s">
        <v>109</v>
      </c>
      <c r="AA8" s="119" t="s">
        <v>100</v>
      </c>
      <c r="AB8" s="75"/>
      <c r="AD8" s="75" t="s">
        <v>236</v>
      </c>
      <c r="AE8" s="119" t="s">
        <v>109</v>
      </c>
      <c r="AF8" s="119" t="s">
        <v>109</v>
      </c>
      <c r="AG8" s="119" t="s">
        <v>109</v>
      </c>
      <c r="AH8" s="119" t="s">
        <v>109</v>
      </c>
      <c r="AI8" s="119" t="s">
        <v>109</v>
      </c>
      <c r="AJ8" s="119" t="s">
        <v>109</v>
      </c>
      <c r="AK8" s="119" t="s">
        <v>109</v>
      </c>
      <c r="AL8" s="119" t="s">
        <v>109</v>
      </c>
      <c r="AM8" s="119" t="s">
        <v>109</v>
      </c>
      <c r="AO8" s="119" t="s">
        <v>25</v>
      </c>
      <c r="AP8" s="119" t="s">
        <v>109</v>
      </c>
      <c r="AQ8" s="119" t="s">
        <v>100</v>
      </c>
      <c r="AR8" s="75"/>
    </row>
    <row r="9" spans="1:46" x14ac:dyDescent="0.45">
      <c r="A9" s="118">
        <v>1</v>
      </c>
      <c r="B9" s="35" t="s">
        <v>252</v>
      </c>
      <c r="C9" s="35"/>
      <c r="D9" s="34"/>
      <c r="E9" s="39"/>
      <c r="F9" s="72"/>
      <c r="G9" s="39">
        <v>3</v>
      </c>
      <c r="H9" s="39">
        <v>5</v>
      </c>
      <c r="I9" s="39">
        <v>7</v>
      </c>
      <c r="J9" s="39">
        <v>9</v>
      </c>
      <c r="K9" s="39">
        <v>11</v>
      </c>
      <c r="L9" s="72"/>
      <c r="N9" s="72"/>
      <c r="O9" s="39">
        <v>3</v>
      </c>
      <c r="P9" s="39">
        <v>4</v>
      </c>
      <c r="Q9" s="39">
        <v>5</v>
      </c>
      <c r="R9" s="39">
        <v>6</v>
      </c>
      <c r="S9" s="39">
        <v>7</v>
      </c>
      <c r="T9" s="39">
        <v>8</v>
      </c>
      <c r="U9" s="39">
        <v>9</v>
      </c>
      <c r="V9" s="39">
        <v>10</v>
      </c>
      <c r="W9" s="39">
        <v>11</v>
      </c>
      <c r="Y9" s="39"/>
      <c r="Z9" s="39"/>
      <c r="AA9" s="39"/>
      <c r="AB9" s="72"/>
      <c r="AD9" s="72"/>
      <c r="AE9" s="39">
        <v>3</v>
      </c>
      <c r="AF9" s="39">
        <v>4</v>
      </c>
      <c r="AG9" s="39">
        <v>5</v>
      </c>
      <c r="AH9" s="39">
        <v>6</v>
      </c>
      <c r="AI9" s="39">
        <v>7</v>
      </c>
      <c r="AJ9" s="39">
        <v>8</v>
      </c>
      <c r="AK9" s="39">
        <v>9</v>
      </c>
      <c r="AL9" s="39">
        <v>10</v>
      </c>
      <c r="AM9" s="39">
        <v>11</v>
      </c>
      <c r="AO9" s="39"/>
      <c r="AP9" s="39"/>
      <c r="AQ9" s="39"/>
      <c r="AR9" s="72"/>
    </row>
    <row r="10" spans="1:46" x14ac:dyDescent="0.45">
      <c r="A10" s="118">
        <f>+A9+1</f>
        <v>2</v>
      </c>
      <c r="B10" s="57">
        <v>500</v>
      </c>
      <c r="C10" s="37" t="s">
        <v>365</v>
      </c>
      <c r="D10" s="34" t="s">
        <v>253</v>
      </c>
      <c r="E10" s="25">
        <v>4881129</v>
      </c>
      <c r="F10" s="72">
        <v>101</v>
      </c>
      <c r="G10" s="1">
        <f>VLOOKUP($F10,AF!$B$39:$M$80,G$9)*$E10</f>
        <v>0</v>
      </c>
      <c r="H10" s="1">
        <f>VLOOKUP($F10,AF!$B$39:$M$80,H$9)*$E10</f>
        <v>0</v>
      </c>
      <c r="I10" s="1">
        <f>VLOOKUP($F10,AF!$B$39:$M$80,I$9)*$E10</f>
        <v>0</v>
      </c>
      <c r="J10" s="1">
        <f>VLOOKUP($F10,AF!$B$39:$M$80,J$9)*$E10</f>
        <v>0</v>
      </c>
      <c r="K10" s="1">
        <f>E10-SUM(G10:J10)</f>
        <v>4881129</v>
      </c>
      <c r="L10" s="72">
        <f t="shared" ref="L10:L19" si="0">$E10-SUM(G10:K10)</f>
        <v>0</v>
      </c>
      <c r="N10" s="72">
        <v>206</v>
      </c>
      <c r="O10" s="1">
        <f>VLOOKUP($N10,AF!$B$39:$M$80,O$9)*$G10</f>
        <v>0</v>
      </c>
      <c r="P10" s="1">
        <f>VLOOKUP($N10,AF!$B$39:$M$80,P$9)*$G10</f>
        <v>0</v>
      </c>
      <c r="Q10" s="1">
        <f>VLOOKUP($N10,AF!$B$39:$M$80,Q$9)*$H10</f>
        <v>0</v>
      </c>
      <c r="R10" s="1">
        <f>VLOOKUP($N10,AF!$B$39:$M$80,R$9)*$H10</f>
        <v>0</v>
      </c>
      <c r="S10" s="1">
        <f>VLOOKUP($N10,AF!$B$39:$M$80,S$9)*$I10</f>
        <v>0</v>
      </c>
      <c r="T10" s="1">
        <f>VLOOKUP($N10,AF!$B$39:$M$80,T$9)*$I10</f>
        <v>0</v>
      </c>
      <c r="U10" s="1">
        <f>VLOOKUP($N10,AF!$B$39:$M$80,U$9)*$J10</f>
        <v>0</v>
      </c>
      <c r="V10" s="1">
        <f>VLOOKUP($N10,AF!$B$39:$M$80,V$9)*$J10</f>
        <v>0</v>
      </c>
      <c r="W10" s="1">
        <f>E10-SUM(O10:V10)</f>
        <v>4881129</v>
      </c>
      <c r="Y10" s="1">
        <f t="shared" ref="Y10:Y18" si="1">+O10+Q10+S10+U10</f>
        <v>0</v>
      </c>
      <c r="Z10" s="1">
        <f t="shared" ref="Z10:Z18" si="2">+P10+R10+T10+V10</f>
        <v>0</v>
      </c>
      <c r="AA10" s="1">
        <f>+Z10+Y10+W10</f>
        <v>4881129</v>
      </c>
      <c r="AB10" s="72">
        <f>$E10-AA10</f>
        <v>0</v>
      </c>
      <c r="AD10" s="72">
        <v>302</v>
      </c>
      <c r="AE10" s="1">
        <f>VLOOKUP($AD10,AF!$B$39:$M$80,AE$9)*$O10</f>
        <v>0</v>
      </c>
      <c r="AF10" s="1">
        <f>VLOOKUP($AD10,AF!$B$39:$M$80,AF$9)*$P10</f>
        <v>0</v>
      </c>
      <c r="AG10" s="1">
        <f>VLOOKUP($AD10,AF!$B$39:$M$80,AG$9)*$Q10</f>
        <v>0</v>
      </c>
      <c r="AH10" s="1">
        <f>VLOOKUP($AD10,AF!$B$39:$M$80,AH$9)*$R10</f>
        <v>0</v>
      </c>
      <c r="AI10" s="1">
        <f>VLOOKUP($AD10,AF!$B$39:$M$80,AI$9)*$S10</f>
        <v>0</v>
      </c>
      <c r="AJ10" s="1">
        <f>VLOOKUP($AD10,AF!$B$39:$M$80,AJ$9)*$T10</f>
        <v>0</v>
      </c>
      <c r="AK10" s="1">
        <f>VLOOKUP($AD10,AF!$B$39:$M$80,AK$9)*$U10</f>
        <v>0</v>
      </c>
      <c r="AL10" s="1">
        <f>VLOOKUP($AD10,AF!$B$39:$M$80,AL$9)*$V10</f>
        <v>0</v>
      </c>
      <c r="AM10" s="1">
        <f>E10-SUM(AE10:AL10)</f>
        <v>4881129</v>
      </c>
      <c r="AO10" s="1">
        <f t="shared" ref="AO10:AO18" si="3">+AE10+AG10+AI10+AK10</f>
        <v>0</v>
      </c>
      <c r="AP10" s="1">
        <f t="shared" ref="AP10:AP18" si="4">+AF10+AH10+AJ10+AL10</f>
        <v>0</v>
      </c>
      <c r="AQ10" s="1">
        <f>+AP10+AO10+AM10</f>
        <v>4881129</v>
      </c>
      <c r="AR10" s="72">
        <f>$E10-AQ10</f>
        <v>0</v>
      </c>
    </row>
    <row r="11" spans="1:46" x14ac:dyDescent="0.45">
      <c r="A11" s="118">
        <f t="shared" ref="A11:A74" si="5">+A10+1</f>
        <v>3</v>
      </c>
      <c r="B11" s="79">
        <v>501</v>
      </c>
      <c r="C11" s="37" t="s">
        <v>38</v>
      </c>
      <c r="D11" s="34" t="s">
        <v>254</v>
      </c>
      <c r="E11" s="25">
        <v>39226396</v>
      </c>
      <c r="F11" s="72">
        <v>101</v>
      </c>
      <c r="G11" s="1">
        <f>VLOOKUP($F11,AF!$B$39:$M$80,G$9)*$E11</f>
        <v>0</v>
      </c>
      <c r="H11" s="1">
        <f>VLOOKUP($F11,AF!$B$39:$M$80,H$9)*$E11</f>
        <v>0</v>
      </c>
      <c r="I11" s="1">
        <f>VLOOKUP($F11,AF!$B$39:$M$80,I$9)*$E11</f>
        <v>0</v>
      </c>
      <c r="J11" s="1">
        <f>VLOOKUP($F11,AF!$B$39:$M$80,J$9)*$E11</f>
        <v>0</v>
      </c>
      <c r="K11" s="1">
        <f t="shared" ref="K11:K18" si="6">E11-SUM(G11:J11)</f>
        <v>39226396</v>
      </c>
      <c r="L11" s="72">
        <f t="shared" si="0"/>
        <v>0</v>
      </c>
      <c r="N11" s="72">
        <v>206</v>
      </c>
      <c r="O11" s="1">
        <f>VLOOKUP($N11,AF!$B$39:$M$80,O$9)*$G11</f>
        <v>0</v>
      </c>
      <c r="P11" s="1">
        <f>VLOOKUP($N11,AF!$B$39:$M$80,P$9)*$G11</f>
        <v>0</v>
      </c>
      <c r="Q11" s="1">
        <f>VLOOKUP($N11,AF!$B$39:$M$80,Q$9)*$H11</f>
        <v>0</v>
      </c>
      <c r="R11" s="1">
        <f>VLOOKUP($N11,AF!$B$39:$M$80,R$9)*$H11</f>
        <v>0</v>
      </c>
      <c r="S11" s="1">
        <f>VLOOKUP($N11,AF!$B$39:$M$80,S$9)*$I11</f>
        <v>0</v>
      </c>
      <c r="T11" s="1">
        <f>VLOOKUP($N11,AF!$B$39:$M$80,T$9)*$I11</f>
        <v>0</v>
      </c>
      <c r="U11" s="1">
        <f>VLOOKUP($N11,AF!$B$39:$M$80,U$9)*$J11</f>
        <v>0</v>
      </c>
      <c r="V11" s="1">
        <f>VLOOKUP($N11,AF!$B$39:$M$80,V$9)*$J11</f>
        <v>0</v>
      </c>
      <c r="W11" s="1">
        <f t="shared" ref="W11:W18" si="7">E11-SUM(O11:V11)</f>
        <v>39226396</v>
      </c>
      <c r="Y11" s="1">
        <f t="shared" si="1"/>
        <v>0</v>
      </c>
      <c r="Z11" s="1">
        <f t="shared" si="2"/>
        <v>0</v>
      </c>
      <c r="AA11" s="1">
        <f t="shared" ref="AA11:AA18" si="8">+Z11+Y11+W11</f>
        <v>39226396</v>
      </c>
      <c r="AB11" s="72">
        <f t="shared" ref="AB11:AB19" si="9">$E11-AA11</f>
        <v>0</v>
      </c>
      <c r="AD11" s="72">
        <v>302</v>
      </c>
      <c r="AE11" s="1">
        <f>VLOOKUP($AD11,AF!$B$39:$M$80,AE$9)*$O11</f>
        <v>0</v>
      </c>
      <c r="AF11" s="1">
        <f>VLOOKUP($AD11,AF!$B$39:$M$80,AF$9)*$P11</f>
        <v>0</v>
      </c>
      <c r="AG11" s="1">
        <f>VLOOKUP($AD11,AF!$B$39:$M$80,AG$9)*$Q11</f>
        <v>0</v>
      </c>
      <c r="AH11" s="1">
        <f>VLOOKUP($AD11,AF!$B$39:$M$80,AH$9)*$R11</f>
        <v>0</v>
      </c>
      <c r="AI11" s="1">
        <f>VLOOKUP($AD11,AF!$B$39:$M$80,AI$9)*$S11</f>
        <v>0</v>
      </c>
      <c r="AJ11" s="1">
        <f>VLOOKUP($AD11,AF!$B$39:$M$80,AJ$9)*$T11</f>
        <v>0</v>
      </c>
      <c r="AK11" s="1">
        <f>VLOOKUP($AD11,AF!$B$39:$M$80,AK$9)*$U11</f>
        <v>0</v>
      </c>
      <c r="AL11" s="1">
        <f>VLOOKUP($AD11,AF!$B$39:$M$80,AL$9)*$V11</f>
        <v>0</v>
      </c>
      <c r="AM11" s="1">
        <f t="shared" ref="AM11:AM18" si="10">E11-SUM(AE11:AL11)</f>
        <v>39226396</v>
      </c>
      <c r="AO11" s="1">
        <f t="shared" si="3"/>
        <v>0</v>
      </c>
      <c r="AP11" s="1">
        <f t="shared" si="4"/>
        <v>0</v>
      </c>
      <c r="AQ11" s="1">
        <f t="shared" ref="AQ11:AQ18" si="11">+AP11+AO11+AM11</f>
        <v>39226396</v>
      </c>
      <c r="AR11" s="72">
        <f t="shared" ref="AR11:AR19" si="12">$E11-AQ11</f>
        <v>0</v>
      </c>
    </row>
    <row r="12" spans="1:46" x14ac:dyDescent="0.45">
      <c r="A12" s="118">
        <f t="shared" si="5"/>
        <v>4</v>
      </c>
      <c r="B12" s="79">
        <v>502</v>
      </c>
      <c r="C12" s="37" t="s">
        <v>255</v>
      </c>
      <c r="D12" s="34" t="s">
        <v>256</v>
      </c>
      <c r="E12" s="25">
        <v>794865</v>
      </c>
      <c r="F12" s="72">
        <v>101</v>
      </c>
      <c r="G12" s="1">
        <f>VLOOKUP($F12,AF!$B$39:$M$80,G$9)*$E12</f>
        <v>0</v>
      </c>
      <c r="H12" s="1">
        <f>VLOOKUP($F12,AF!$B$39:$M$80,H$9)*$E12</f>
        <v>0</v>
      </c>
      <c r="I12" s="1">
        <f>VLOOKUP($F12,AF!$B$39:$M$80,I$9)*$E12</f>
        <v>0</v>
      </c>
      <c r="J12" s="1">
        <f>VLOOKUP($F12,AF!$B$39:$M$80,J$9)*$E12</f>
        <v>0</v>
      </c>
      <c r="K12" s="1">
        <f t="shared" si="6"/>
        <v>794865</v>
      </c>
      <c r="L12" s="72">
        <f t="shared" si="0"/>
        <v>0</v>
      </c>
      <c r="N12" s="72">
        <v>206</v>
      </c>
      <c r="O12" s="1">
        <f>VLOOKUP($N12,AF!$B$39:$M$80,O$9)*$G12</f>
        <v>0</v>
      </c>
      <c r="P12" s="1">
        <f>VLOOKUP($N12,AF!$B$39:$M$80,P$9)*$G12</f>
        <v>0</v>
      </c>
      <c r="Q12" s="1">
        <f>VLOOKUP($N12,AF!$B$39:$M$80,Q$9)*$H12</f>
        <v>0</v>
      </c>
      <c r="R12" s="1">
        <f>VLOOKUP($N12,AF!$B$39:$M$80,R$9)*$H12</f>
        <v>0</v>
      </c>
      <c r="S12" s="1">
        <f>VLOOKUP($N12,AF!$B$39:$M$80,S$9)*$I12</f>
        <v>0</v>
      </c>
      <c r="T12" s="1">
        <f>VLOOKUP($N12,AF!$B$39:$M$80,T$9)*$I12</f>
        <v>0</v>
      </c>
      <c r="U12" s="1">
        <f>VLOOKUP($N12,AF!$B$39:$M$80,U$9)*$J12</f>
        <v>0</v>
      </c>
      <c r="V12" s="1">
        <f>VLOOKUP($N12,AF!$B$39:$M$80,V$9)*$J12</f>
        <v>0</v>
      </c>
      <c r="W12" s="1">
        <f t="shared" si="7"/>
        <v>794865</v>
      </c>
      <c r="Y12" s="1">
        <f t="shared" si="1"/>
        <v>0</v>
      </c>
      <c r="Z12" s="1">
        <f t="shared" si="2"/>
        <v>0</v>
      </c>
      <c r="AA12" s="1">
        <f t="shared" si="8"/>
        <v>794865</v>
      </c>
      <c r="AB12" s="72">
        <f t="shared" si="9"/>
        <v>0</v>
      </c>
      <c r="AD12" s="72">
        <v>302</v>
      </c>
      <c r="AE12" s="1">
        <f>VLOOKUP($AD12,AF!$B$39:$M$80,AE$9)*$O12</f>
        <v>0</v>
      </c>
      <c r="AF12" s="1">
        <f>VLOOKUP($AD12,AF!$B$39:$M$80,AF$9)*$P12</f>
        <v>0</v>
      </c>
      <c r="AG12" s="1">
        <f>VLOOKUP($AD12,AF!$B$39:$M$80,AG$9)*$Q12</f>
        <v>0</v>
      </c>
      <c r="AH12" s="1">
        <f>VLOOKUP($AD12,AF!$B$39:$M$80,AH$9)*$R12</f>
        <v>0</v>
      </c>
      <c r="AI12" s="1">
        <f>VLOOKUP($AD12,AF!$B$39:$M$80,AI$9)*$S12</f>
        <v>0</v>
      </c>
      <c r="AJ12" s="1">
        <f>VLOOKUP($AD12,AF!$B$39:$M$80,AJ$9)*$T12</f>
        <v>0</v>
      </c>
      <c r="AK12" s="1">
        <f>VLOOKUP($AD12,AF!$B$39:$M$80,AK$9)*$U12</f>
        <v>0</v>
      </c>
      <c r="AL12" s="1">
        <f>VLOOKUP($AD12,AF!$B$39:$M$80,AL$9)*$V12</f>
        <v>0</v>
      </c>
      <c r="AM12" s="1">
        <f t="shared" si="10"/>
        <v>794865</v>
      </c>
      <c r="AO12" s="1">
        <f t="shared" si="3"/>
        <v>0</v>
      </c>
      <c r="AP12" s="1">
        <f t="shared" si="4"/>
        <v>0</v>
      </c>
      <c r="AQ12" s="1">
        <f t="shared" si="11"/>
        <v>794865</v>
      </c>
      <c r="AR12" s="72">
        <f t="shared" si="12"/>
        <v>0</v>
      </c>
    </row>
    <row r="13" spans="1:46" x14ac:dyDescent="0.45">
      <c r="A13" s="118">
        <f t="shared" si="5"/>
        <v>5</v>
      </c>
      <c r="B13" s="79">
        <v>503</v>
      </c>
      <c r="C13" s="37" t="s">
        <v>257</v>
      </c>
      <c r="D13" s="34" t="s">
        <v>258</v>
      </c>
      <c r="E13" s="25">
        <v>0</v>
      </c>
      <c r="F13" s="72">
        <v>101</v>
      </c>
      <c r="G13" s="1">
        <f>VLOOKUP($F13,AF!$B$39:$M$80,G$9)*$E13</f>
        <v>0</v>
      </c>
      <c r="H13" s="1">
        <f>VLOOKUP($F13,AF!$B$39:$M$80,H$9)*$E13</f>
        <v>0</v>
      </c>
      <c r="I13" s="1">
        <f>VLOOKUP($F13,AF!$B$39:$M$80,I$9)*$E13</f>
        <v>0</v>
      </c>
      <c r="J13" s="1">
        <f>VLOOKUP($F13,AF!$B$39:$M$80,J$9)*$E13</f>
        <v>0</v>
      </c>
      <c r="K13" s="1">
        <f t="shared" si="6"/>
        <v>0</v>
      </c>
      <c r="L13" s="72">
        <f t="shared" si="0"/>
        <v>0</v>
      </c>
      <c r="N13" s="72">
        <v>206</v>
      </c>
      <c r="O13" s="1">
        <f>VLOOKUP($N13,AF!$B$39:$M$80,O$9)*$G13</f>
        <v>0</v>
      </c>
      <c r="P13" s="1">
        <f>VLOOKUP($N13,AF!$B$39:$M$80,P$9)*$G13</f>
        <v>0</v>
      </c>
      <c r="Q13" s="1">
        <f>VLOOKUP($N13,AF!$B$39:$M$80,Q$9)*$H13</f>
        <v>0</v>
      </c>
      <c r="R13" s="1">
        <f>VLOOKUP($N13,AF!$B$39:$M$80,R$9)*$H13</f>
        <v>0</v>
      </c>
      <c r="S13" s="1">
        <f>VLOOKUP($N13,AF!$B$39:$M$80,S$9)*$I13</f>
        <v>0</v>
      </c>
      <c r="T13" s="1">
        <f>VLOOKUP($N13,AF!$B$39:$M$80,T$9)*$I13</f>
        <v>0</v>
      </c>
      <c r="U13" s="1">
        <f>VLOOKUP($N13,AF!$B$39:$M$80,U$9)*$J13</f>
        <v>0</v>
      </c>
      <c r="V13" s="1">
        <f>VLOOKUP($N13,AF!$B$39:$M$80,V$9)*$J13</f>
        <v>0</v>
      </c>
      <c r="W13" s="1">
        <f t="shared" si="7"/>
        <v>0</v>
      </c>
      <c r="Y13" s="1">
        <f t="shared" si="1"/>
        <v>0</v>
      </c>
      <c r="Z13" s="1">
        <f t="shared" si="2"/>
        <v>0</v>
      </c>
      <c r="AA13" s="1">
        <f t="shared" si="8"/>
        <v>0</v>
      </c>
      <c r="AB13" s="72">
        <f t="shared" si="9"/>
        <v>0</v>
      </c>
      <c r="AD13" s="72">
        <v>302</v>
      </c>
      <c r="AE13" s="1">
        <f>VLOOKUP($AD13,AF!$B$39:$M$80,AE$9)*$O13</f>
        <v>0</v>
      </c>
      <c r="AF13" s="1">
        <f>VLOOKUP($AD13,AF!$B$39:$M$80,AF$9)*$P13</f>
        <v>0</v>
      </c>
      <c r="AG13" s="1">
        <f>VLOOKUP($AD13,AF!$B$39:$M$80,AG$9)*$Q13</f>
        <v>0</v>
      </c>
      <c r="AH13" s="1">
        <f>VLOOKUP($AD13,AF!$B$39:$M$80,AH$9)*$R13</f>
        <v>0</v>
      </c>
      <c r="AI13" s="1">
        <f>VLOOKUP($AD13,AF!$B$39:$M$80,AI$9)*$S13</f>
        <v>0</v>
      </c>
      <c r="AJ13" s="1">
        <f>VLOOKUP($AD13,AF!$B$39:$M$80,AJ$9)*$T13</f>
        <v>0</v>
      </c>
      <c r="AK13" s="1">
        <f>VLOOKUP($AD13,AF!$B$39:$M$80,AK$9)*$U13</f>
        <v>0</v>
      </c>
      <c r="AL13" s="1">
        <f>VLOOKUP($AD13,AF!$B$39:$M$80,AL$9)*$V13</f>
        <v>0</v>
      </c>
      <c r="AM13" s="1">
        <f t="shared" si="10"/>
        <v>0</v>
      </c>
      <c r="AO13" s="1">
        <f t="shared" si="3"/>
        <v>0</v>
      </c>
      <c r="AP13" s="1">
        <f t="shared" si="4"/>
        <v>0</v>
      </c>
      <c r="AQ13" s="1">
        <f t="shared" si="11"/>
        <v>0</v>
      </c>
      <c r="AR13" s="72">
        <f t="shared" si="12"/>
        <v>0</v>
      </c>
    </row>
    <row r="14" spans="1:46" x14ac:dyDescent="0.45">
      <c r="A14" s="118">
        <f t="shared" si="5"/>
        <v>6</v>
      </c>
      <c r="B14" s="79">
        <v>504</v>
      </c>
      <c r="C14" s="37" t="s">
        <v>259</v>
      </c>
      <c r="D14" s="34" t="s">
        <v>260</v>
      </c>
      <c r="E14" s="25">
        <v>0</v>
      </c>
      <c r="F14" s="72">
        <v>101</v>
      </c>
      <c r="G14" s="1">
        <f>VLOOKUP($F14,AF!$B$39:$M$80,G$9)*$E14</f>
        <v>0</v>
      </c>
      <c r="H14" s="1">
        <f>VLOOKUP($F14,AF!$B$39:$M$80,H$9)*$E14</f>
        <v>0</v>
      </c>
      <c r="I14" s="1">
        <f>VLOOKUP($F14,AF!$B$39:$M$80,I$9)*$E14</f>
        <v>0</v>
      </c>
      <c r="J14" s="1">
        <f>VLOOKUP($F14,AF!$B$39:$M$80,J$9)*$E14</f>
        <v>0</v>
      </c>
      <c r="K14" s="1">
        <f t="shared" si="6"/>
        <v>0</v>
      </c>
      <c r="L14" s="72">
        <f t="shared" si="0"/>
        <v>0</v>
      </c>
      <c r="N14" s="72">
        <v>206</v>
      </c>
      <c r="O14" s="1">
        <f>VLOOKUP($N14,AF!$B$39:$M$80,O$9)*$G14</f>
        <v>0</v>
      </c>
      <c r="P14" s="1">
        <f>VLOOKUP($N14,AF!$B$39:$M$80,P$9)*$G14</f>
        <v>0</v>
      </c>
      <c r="Q14" s="1">
        <f>VLOOKUP($N14,AF!$B$39:$M$80,Q$9)*$H14</f>
        <v>0</v>
      </c>
      <c r="R14" s="1">
        <f>VLOOKUP($N14,AF!$B$39:$M$80,R$9)*$H14</f>
        <v>0</v>
      </c>
      <c r="S14" s="1">
        <f>VLOOKUP($N14,AF!$B$39:$M$80,S$9)*$I14</f>
        <v>0</v>
      </c>
      <c r="T14" s="1">
        <f>VLOOKUP($N14,AF!$B$39:$M$80,T$9)*$I14</f>
        <v>0</v>
      </c>
      <c r="U14" s="1">
        <f>VLOOKUP($N14,AF!$B$39:$M$80,U$9)*$J14</f>
        <v>0</v>
      </c>
      <c r="V14" s="1">
        <f>VLOOKUP($N14,AF!$B$39:$M$80,V$9)*$J14</f>
        <v>0</v>
      </c>
      <c r="W14" s="1">
        <f t="shared" si="7"/>
        <v>0</v>
      </c>
      <c r="Y14" s="1">
        <f t="shared" si="1"/>
        <v>0</v>
      </c>
      <c r="Z14" s="1">
        <f t="shared" si="2"/>
        <v>0</v>
      </c>
      <c r="AA14" s="1">
        <f t="shared" si="8"/>
        <v>0</v>
      </c>
      <c r="AB14" s="72">
        <f t="shared" si="9"/>
        <v>0</v>
      </c>
      <c r="AD14" s="72">
        <v>302</v>
      </c>
      <c r="AE14" s="1">
        <f>VLOOKUP($AD14,AF!$B$39:$M$80,AE$9)*$O14</f>
        <v>0</v>
      </c>
      <c r="AF14" s="1">
        <f>VLOOKUP($AD14,AF!$B$39:$M$80,AF$9)*$P14</f>
        <v>0</v>
      </c>
      <c r="AG14" s="1">
        <f>VLOOKUP($AD14,AF!$B$39:$M$80,AG$9)*$Q14</f>
        <v>0</v>
      </c>
      <c r="AH14" s="1">
        <f>VLOOKUP($AD14,AF!$B$39:$M$80,AH$9)*$R14</f>
        <v>0</v>
      </c>
      <c r="AI14" s="1">
        <f>VLOOKUP($AD14,AF!$B$39:$M$80,AI$9)*$S14</f>
        <v>0</v>
      </c>
      <c r="AJ14" s="1">
        <f>VLOOKUP($AD14,AF!$B$39:$M$80,AJ$9)*$T14</f>
        <v>0</v>
      </c>
      <c r="AK14" s="1">
        <f>VLOOKUP($AD14,AF!$B$39:$M$80,AK$9)*$U14</f>
        <v>0</v>
      </c>
      <c r="AL14" s="1">
        <f>VLOOKUP($AD14,AF!$B$39:$M$80,AL$9)*$V14</f>
        <v>0</v>
      </c>
      <c r="AM14" s="1">
        <f t="shared" si="10"/>
        <v>0</v>
      </c>
      <c r="AO14" s="1">
        <f t="shared" si="3"/>
        <v>0</v>
      </c>
      <c r="AP14" s="1">
        <f t="shared" si="4"/>
        <v>0</v>
      </c>
      <c r="AQ14" s="1">
        <f t="shared" si="11"/>
        <v>0</v>
      </c>
      <c r="AR14" s="72">
        <f t="shared" si="12"/>
        <v>0</v>
      </c>
    </row>
    <row r="15" spans="1:46" x14ac:dyDescent="0.45">
      <c r="A15" s="118">
        <f t="shared" si="5"/>
        <v>7</v>
      </c>
      <c r="B15" s="79">
        <v>505</v>
      </c>
      <c r="C15" s="37" t="s">
        <v>261</v>
      </c>
      <c r="D15" s="34" t="s">
        <v>262</v>
      </c>
      <c r="E15" s="25">
        <v>1065297</v>
      </c>
      <c r="F15" s="72">
        <v>101</v>
      </c>
      <c r="G15" s="1">
        <f>VLOOKUP($F15,AF!$B$39:$M$80,G$9)*$E15</f>
        <v>0</v>
      </c>
      <c r="H15" s="1">
        <f>VLOOKUP($F15,AF!$B$39:$M$80,H$9)*$E15</f>
        <v>0</v>
      </c>
      <c r="I15" s="1">
        <f>VLOOKUP($F15,AF!$B$39:$M$80,I$9)*$E15</f>
        <v>0</v>
      </c>
      <c r="J15" s="1">
        <f>VLOOKUP($F15,AF!$B$39:$M$80,J$9)*$E15</f>
        <v>0</v>
      </c>
      <c r="K15" s="1">
        <f t="shared" si="6"/>
        <v>1065297</v>
      </c>
      <c r="L15" s="72">
        <f t="shared" si="0"/>
        <v>0</v>
      </c>
      <c r="N15" s="72">
        <v>206</v>
      </c>
      <c r="O15" s="1">
        <f>VLOOKUP($N15,AF!$B$39:$M$80,O$9)*$G15</f>
        <v>0</v>
      </c>
      <c r="P15" s="1">
        <f>VLOOKUP($N15,AF!$B$39:$M$80,P$9)*$G15</f>
        <v>0</v>
      </c>
      <c r="Q15" s="1">
        <f>VLOOKUP($N15,AF!$B$39:$M$80,Q$9)*$H15</f>
        <v>0</v>
      </c>
      <c r="R15" s="1">
        <f>VLOOKUP($N15,AF!$B$39:$M$80,R$9)*$H15</f>
        <v>0</v>
      </c>
      <c r="S15" s="1">
        <f>VLOOKUP($N15,AF!$B$39:$M$80,S$9)*$I15</f>
        <v>0</v>
      </c>
      <c r="T15" s="1">
        <f>VLOOKUP($N15,AF!$B$39:$M$80,T$9)*$I15</f>
        <v>0</v>
      </c>
      <c r="U15" s="1">
        <f>VLOOKUP($N15,AF!$B$39:$M$80,U$9)*$J15</f>
        <v>0</v>
      </c>
      <c r="V15" s="1">
        <f>VLOOKUP($N15,AF!$B$39:$M$80,V$9)*$J15</f>
        <v>0</v>
      </c>
      <c r="W15" s="1">
        <f t="shared" si="7"/>
        <v>1065297</v>
      </c>
      <c r="Y15" s="1">
        <f t="shared" si="1"/>
        <v>0</v>
      </c>
      <c r="Z15" s="1">
        <f t="shared" si="2"/>
        <v>0</v>
      </c>
      <c r="AA15" s="1">
        <f t="shared" si="8"/>
        <v>1065297</v>
      </c>
      <c r="AB15" s="72">
        <f t="shared" si="9"/>
        <v>0</v>
      </c>
      <c r="AD15" s="72">
        <v>302</v>
      </c>
      <c r="AE15" s="1">
        <f>VLOOKUP($AD15,AF!$B$39:$M$80,AE$9)*$O15</f>
        <v>0</v>
      </c>
      <c r="AF15" s="1">
        <f>VLOOKUP($AD15,AF!$B$39:$M$80,AF$9)*$P15</f>
        <v>0</v>
      </c>
      <c r="AG15" s="1">
        <f>VLOOKUP($AD15,AF!$B$39:$M$80,AG$9)*$Q15</f>
        <v>0</v>
      </c>
      <c r="AH15" s="1">
        <f>VLOOKUP($AD15,AF!$B$39:$M$80,AH$9)*$R15</f>
        <v>0</v>
      </c>
      <c r="AI15" s="1">
        <f>VLOOKUP($AD15,AF!$B$39:$M$80,AI$9)*$S15</f>
        <v>0</v>
      </c>
      <c r="AJ15" s="1">
        <f>VLOOKUP($AD15,AF!$B$39:$M$80,AJ$9)*$T15</f>
        <v>0</v>
      </c>
      <c r="AK15" s="1">
        <f>VLOOKUP($AD15,AF!$B$39:$M$80,AK$9)*$U15</f>
        <v>0</v>
      </c>
      <c r="AL15" s="1">
        <f>VLOOKUP($AD15,AF!$B$39:$M$80,AL$9)*$V15</f>
        <v>0</v>
      </c>
      <c r="AM15" s="1">
        <f t="shared" si="10"/>
        <v>1065297</v>
      </c>
      <c r="AO15" s="1">
        <f t="shared" si="3"/>
        <v>0</v>
      </c>
      <c r="AP15" s="1">
        <f t="shared" si="4"/>
        <v>0</v>
      </c>
      <c r="AQ15" s="1">
        <f t="shared" si="11"/>
        <v>1065297</v>
      </c>
      <c r="AR15" s="72">
        <f t="shared" si="12"/>
        <v>0</v>
      </c>
    </row>
    <row r="16" spans="1:46" x14ac:dyDescent="0.45">
      <c r="A16" s="118">
        <f t="shared" si="5"/>
        <v>8</v>
      </c>
      <c r="B16" s="79">
        <v>506</v>
      </c>
      <c r="C16" s="37" t="s">
        <v>263</v>
      </c>
      <c r="D16" s="34" t="s">
        <v>264</v>
      </c>
      <c r="E16" s="25">
        <v>1551824</v>
      </c>
      <c r="F16" s="72">
        <v>101</v>
      </c>
      <c r="G16" s="1">
        <f>VLOOKUP($F16,AF!$B$39:$M$80,G$9)*$E16</f>
        <v>0</v>
      </c>
      <c r="H16" s="1">
        <f>VLOOKUP($F16,AF!$B$39:$M$80,H$9)*$E16</f>
        <v>0</v>
      </c>
      <c r="I16" s="1">
        <f>VLOOKUP($F16,AF!$B$39:$M$80,I$9)*$E16</f>
        <v>0</v>
      </c>
      <c r="J16" s="1">
        <f>VLOOKUP($F16,AF!$B$39:$M$80,J$9)*$E16</f>
        <v>0</v>
      </c>
      <c r="K16" s="1">
        <f t="shared" si="6"/>
        <v>1551824</v>
      </c>
      <c r="L16" s="72">
        <f t="shared" si="0"/>
        <v>0</v>
      </c>
      <c r="N16" s="72">
        <v>206</v>
      </c>
      <c r="O16" s="1">
        <f>VLOOKUP($N16,AF!$B$39:$M$80,O$9)*$G16</f>
        <v>0</v>
      </c>
      <c r="P16" s="1">
        <f>VLOOKUP($N16,AF!$B$39:$M$80,P$9)*$G16</f>
        <v>0</v>
      </c>
      <c r="Q16" s="1">
        <f>VLOOKUP($N16,AF!$B$39:$M$80,Q$9)*$H16</f>
        <v>0</v>
      </c>
      <c r="R16" s="1">
        <f>VLOOKUP($N16,AF!$B$39:$M$80,R$9)*$H16</f>
        <v>0</v>
      </c>
      <c r="S16" s="1">
        <f>VLOOKUP($N16,AF!$B$39:$M$80,S$9)*$I16</f>
        <v>0</v>
      </c>
      <c r="T16" s="1">
        <f>VLOOKUP($N16,AF!$B$39:$M$80,T$9)*$I16</f>
        <v>0</v>
      </c>
      <c r="U16" s="1">
        <f>VLOOKUP($N16,AF!$B$39:$M$80,U$9)*$J16</f>
        <v>0</v>
      </c>
      <c r="V16" s="1">
        <f>VLOOKUP($N16,AF!$B$39:$M$80,V$9)*$J16</f>
        <v>0</v>
      </c>
      <c r="W16" s="1">
        <f t="shared" si="7"/>
        <v>1551824</v>
      </c>
      <c r="Y16" s="1">
        <f t="shared" si="1"/>
        <v>0</v>
      </c>
      <c r="Z16" s="1">
        <f t="shared" si="2"/>
        <v>0</v>
      </c>
      <c r="AA16" s="1">
        <f t="shared" si="8"/>
        <v>1551824</v>
      </c>
      <c r="AB16" s="72">
        <f t="shared" si="9"/>
        <v>0</v>
      </c>
      <c r="AD16" s="72">
        <v>302</v>
      </c>
      <c r="AE16" s="1">
        <f>VLOOKUP($AD16,AF!$B$39:$M$80,AE$9)*$O16</f>
        <v>0</v>
      </c>
      <c r="AF16" s="1">
        <f>VLOOKUP($AD16,AF!$B$39:$M$80,AF$9)*$P16</f>
        <v>0</v>
      </c>
      <c r="AG16" s="1">
        <f>VLOOKUP($AD16,AF!$B$39:$M$80,AG$9)*$Q16</f>
        <v>0</v>
      </c>
      <c r="AH16" s="1">
        <f>VLOOKUP($AD16,AF!$B$39:$M$80,AH$9)*$R16</f>
        <v>0</v>
      </c>
      <c r="AI16" s="1">
        <f>VLOOKUP($AD16,AF!$B$39:$M$80,AI$9)*$S16</f>
        <v>0</v>
      </c>
      <c r="AJ16" s="1">
        <f>VLOOKUP($AD16,AF!$B$39:$M$80,AJ$9)*$T16</f>
        <v>0</v>
      </c>
      <c r="AK16" s="1">
        <f>VLOOKUP($AD16,AF!$B$39:$M$80,AK$9)*$U16</f>
        <v>0</v>
      </c>
      <c r="AL16" s="1">
        <f>VLOOKUP($AD16,AF!$B$39:$M$80,AL$9)*$V16</f>
        <v>0</v>
      </c>
      <c r="AM16" s="1">
        <f t="shared" si="10"/>
        <v>1551824</v>
      </c>
      <c r="AO16" s="1">
        <f t="shared" si="3"/>
        <v>0</v>
      </c>
      <c r="AP16" s="1">
        <f t="shared" si="4"/>
        <v>0</v>
      </c>
      <c r="AQ16" s="1">
        <f t="shared" si="11"/>
        <v>1551824</v>
      </c>
      <c r="AR16" s="72">
        <f t="shared" si="12"/>
        <v>0</v>
      </c>
    </row>
    <row r="17" spans="1:44" x14ac:dyDescent="0.45">
      <c r="A17" s="118">
        <f t="shared" si="5"/>
        <v>9</v>
      </c>
      <c r="B17" s="79">
        <v>507</v>
      </c>
      <c r="C17" s="37" t="s">
        <v>61</v>
      </c>
      <c r="D17" s="34" t="s">
        <v>265</v>
      </c>
      <c r="E17" s="25">
        <v>0</v>
      </c>
      <c r="F17" s="72">
        <v>101</v>
      </c>
      <c r="G17" s="1">
        <f>VLOOKUP($F17,AF!$B$39:$M$80,G$9)*$E17</f>
        <v>0</v>
      </c>
      <c r="H17" s="1">
        <f>VLOOKUP($F17,AF!$B$39:$M$80,H$9)*$E17</f>
        <v>0</v>
      </c>
      <c r="I17" s="1">
        <f>VLOOKUP($F17,AF!$B$39:$M$80,I$9)*$E17</f>
        <v>0</v>
      </c>
      <c r="J17" s="1">
        <f>VLOOKUP($F17,AF!$B$39:$M$80,J$9)*$E17</f>
        <v>0</v>
      </c>
      <c r="K17" s="1">
        <f t="shared" si="6"/>
        <v>0</v>
      </c>
      <c r="L17" s="72">
        <f t="shared" si="0"/>
        <v>0</v>
      </c>
      <c r="N17" s="72">
        <v>206</v>
      </c>
      <c r="O17" s="1">
        <f>VLOOKUP($N17,AF!$B$39:$M$80,O$9)*$G17</f>
        <v>0</v>
      </c>
      <c r="P17" s="1">
        <f>VLOOKUP($N17,AF!$B$39:$M$80,P$9)*$G17</f>
        <v>0</v>
      </c>
      <c r="Q17" s="1">
        <f>VLOOKUP($N17,AF!$B$39:$M$80,Q$9)*$H17</f>
        <v>0</v>
      </c>
      <c r="R17" s="1">
        <f>VLOOKUP($N17,AF!$B$39:$M$80,R$9)*$H17</f>
        <v>0</v>
      </c>
      <c r="S17" s="1">
        <f>VLOOKUP($N17,AF!$B$39:$M$80,S$9)*$I17</f>
        <v>0</v>
      </c>
      <c r="T17" s="1">
        <f>VLOOKUP($N17,AF!$B$39:$M$80,T$9)*$I17</f>
        <v>0</v>
      </c>
      <c r="U17" s="1">
        <f>VLOOKUP($N17,AF!$B$39:$M$80,U$9)*$J17</f>
        <v>0</v>
      </c>
      <c r="V17" s="1">
        <f>VLOOKUP($N17,AF!$B$39:$M$80,V$9)*$J17</f>
        <v>0</v>
      </c>
      <c r="W17" s="1">
        <f t="shared" si="7"/>
        <v>0</v>
      </c>
      <c r="Y17" s="1">
        <f t="shared" si="1"/>
        <v>0</v>
      </c>
      <c r="Z17" s="1">
        <f t="shared" si="2"/>
        <v>0</v>
      </c>
      <c r="AA17" s="1">
        <f t="shared" si="8"/>
        <v>0</v>
      </c>
      <c r="AB17" s="72">
        <f t="shared" si="9"/>
        <v>0</v>
      </c>
      <c r="AD17" s="72">
        <v>302</v>
      </c>
      <c r="AE17" s="1">
        <f>VLOOKUP($AD17,AF!$B$39:$M$80,AE$9)*$O17</f>
        <v>0</v>
      </c>
      <c r="AF17" s="1">
        <f>VLOOKUP($AD17,AF!$B$39:$M$80,AF$9)*$P17</f>
        <v>0</v>
      </c>
      <c r="AG17" s="1">
        <f>VLOOKUP($AD17,AF!$B$39:$M$80,AG$9)*$Q17</f>
        <v>0</v>
      </c>
      <c r="AH17" s="1">
        <f>VLOOKUP($AD17,AF!$B$39:$M$80,AH$9)*$R17</f>
        <v>0</v>
      </c>
      <c r="AI17" s="1">
        <f>VLOOKUP($AD17,AF!$B$39:$M$80,AI$9)*$S17</f>
        <v>0</v>
      </c>
      <c r="AJ17" s="1">
        <f>VLOOKUP($AD17,AF!$B$39:$M$80,AJ$9)*$T17</f>
        <v>0</v>
      </c>
      <c r="AK17" s="1">
        <f>VLOOKUP($AD17,AF!$B$39:$M$80,AK$9)*$U17</f>
        <v>0</v>
      </c>
      <c r="AL17" s="1">
        <f>VLOOKUP($AD17,AF!$B$39:$M$80,AL$9)*$V17</f>
        <v>0</v>
      </c>
      <c r="AM17" s="1">
        <f t="shared" si="10"/>
        <v>0</v>
      </c>
      <c r="AO17" s="1">
        <f t="shared" si="3"/>
        <v>0</v>
      </c>
      <c r="AP17" s="1">
        <f t="shared" si="4"/>
        <v>0</v>
      </c>
      <c r="AQ17" s="1">
        <f t="shared" si="11"/>
        <v>0</v>
      </c>
      <c r="AR17" s="72">
        <f t="shared" si="12"/>
        <v>0</v>
      </c>
    </row>
    <row r="18" spans="1:44" x14ac:dyDescent="0.45">
      <c r="A18" s="118">
        <f t="shared" si="5"/>
        <v>10</v>
      </c>
      <c r="B18" s="79">
        <v>509</v>
      </c>
      <c r="C18" s="37" t="s">
        <v>266</v>
      </c>
      <c r="D18" s="34" t="s">
        <v>267</v>
      </c>
      <c r="E18" s="25">
        <v>0</v>
      </c>
      <c r="F18" s="72">
        <v>101</v>
      </c>
      <c r="G18" s="1">
        <f>VLOOKUP($F18,AF!$B$39:$M$80,G$9)*$E18</f>
        <v>0</v>
      </c>
      <c r="H18" s="1">
        <f>VLOOKUP($F18,AF!$B$39:$M$80,H$9)*$E18</f>
        <v>0</v>
      </c>
      <c r="I18" s="1">
        <f>VLOOKUP($F18,AF!$B$39:$M$80,I$9)*$E18</f>
        <v>0</v>
      </c>
      <c r="J18" s="1">
        <f>VLOOKUP($F18,AF!$B$39:$M$80,J$9)*$E18</f>
        <v>0</v>
      </c>
      <c r="K18" s="1">
        <f t="shared" si="6"/>
        <v>0</v>
      </c>
      <c r="L18" s="72">
        <f t="shared" si="0"/>
        <v>0</v>
      </c>
      <c r="N18" s="72">
        <v>206</v>
      </c>
      <c r="O18" s="1">
        <f>VLOOKUP($N18,AF!$B$39:$M$80,O$9)*$G18</f>
        <v>0</v>
      </c>
      <c r="P18" s="1">
        <f>VLOOKUP($N18,AF!$B$39:$M$80,P$9)*$G18</f>
        <v>0</v>
      </c>
      <c r="Q18" s="1">
        <f>VLOOKUP($N18,AF!$B$39:$M$80,Q$9)*$H18</f>
        <v>0</v>
      </c>
      <c r="R18" s="1">
        <f>VLOOKUP($N18,AF!$B$39:$M$80,R$9)*$H18</f>
        <v>0</v>
      </c>
      <c r="S18" s="1">
        <f>VLOOKUP($N18,AF!$B$39:$M$80,S$9)*$I18</f>
        <v>0</v>
      </c>
      <c r="T18" s="1">
        <f>VLOOKUP($N18,AF!$B$39:$M$80,T$9)*$I18</f>
        <v>0</v>
      </c>
      <c r="U18" s="1">
        <f>VLOOKUP($N18,AF!$B$39:$M$80,U$9)*$J18</f>
        <v>0</v>
      </c>
      <c r="V18" s="1">
        <f>VLOOKUP($N18,AF!$B$39:$M$80,V$9)*$J18</f>
        <v>0</v>
      </c>
      <c r="W18" s="1">
        <f t="shared" si="7"/>
        <v>0</v>
      </c>
      <c r="Y18" s="1">
        <f t="shared" si="1"/>
        <v>0</v>
      </c>
      <c r="Z18" s="1">
        <f t="shared" si="2"/>
        <v>0</v>
      </c>
      <c r="AA18" s="1">
        <f t="shared" si="8"/>
        <v>0</v>
      </c>
      <c r="AB18" s="72">
        <f t="shared" si="9"/>
        <v>0</v>
      </c>
      <c r="AD18" s="72">
        <v>302</v>
      </c>
      <c r="AE18" s="1">
        <f>VLOOKUP($AD18,AF!$B$39:$M$80,AE$9)*$O18</f>
        <v>0</v>
      </c>
      <c r="AF18" s="1">
        <f>VLOOKUP($AD18,AF!$B$39:$M$80,AF$9)*$P18</f>
        <v>0</v>
      </c>
      <c r="AG18" s="1">
        <f>VLOOKUP($AD18,AF!$B$39:$M$80,AG$9)*$Q18</f>
        <v>0</v>
      </c>
      <c r="AH18" s="1">
        <f>VLOOKUP($AD18,AF!$B$39:$M$80,AH$9)*$R18</f>
        <v>0</v>
      </c>
      <c r="AI18" s="1">
        <f>VLOOKUP($AD18,AF!$B$39:$M$80,AI$9)*$S18</f>
        <v>0</v>
      </c>
      <c r="AJ18" s="1">
        <f>VLOOKUP($AD18,AF!$B$39:$M$80,AJ$9)*$T18</f>
        <v>0</v>
      </c>
      <c r="AK18" s="1">
        <f>VLOOKUP($AD18,AF!$B$39:$M$80,AK$9)*$U18</f>
        <v>0</v>
      </c>
      <c r="AL18" s="1">
        <f>VLOOKUP($AD18,AF!$B$39:$M$80,AL$9)*$V18</f>
        <v>0</v>
      </c>
      <c r="AM18" s="1">
        <f t="shared" si="10"/>
        <v>0</v>
      </c>
      <c r="AO18" s="1">
        <f t="shared" si="3"/>
        <v>0</v>
      </c>
      <c r="AP18" s="1">
        <f t="shared" si="4"/>
        <v>0</v>
      </c>
      <c r="AQ18" s="1">
        <f t="shared" si="11"/>
        <v>0</v>
      </c>
      <c r="AR18" s="72">
        <f t="shared" si="12"/>
        <v>0</v>
      </c>
    </row>
    <row r="19" spans="1:44" x14ac:dyDescent="0.45">
      <c r="A19" s="118">
        <f t="shared" si="5"/>
        <v>11</v>
      </c>
      <c r="B19" s="37"/>
      <c r="C19" s="37" t="s">
        <v>0</v>
      </c>
      <c r="D19" s="34"/>
      <c r="E19" s="61">
        <f>SUM(E10:E18)</f>
        <v>47519511</v>
      </c>
      <c r="F19" s="29"/>
      <c r="G19" s="61">
        <f t="shared" ref="G19:K19" si="13">SUM(G10:G18)</f>
        <v>0</v>
      </c>
      <c r="H19" s="61">
        <f t="shared" si="13"/>
        <v>0</v>
      </c>
      <c r="I19" s="61">
        <f t="shared" si="13"/>
        <v>0</v>
      </c>
      <c r="J19" s="61">
        <f t="shared" si="13"/>
        <v>0</v>
      </c>
      <c r="K19" s="61">
        <f t="shared" si="13"/>
        <v>47519511</v>
      </c>
      <c r="L19" s="72">
        <f t="shared" si="0"/>
        <v>0</v>
      </c>
      <c r="N19" s="29"/>
      <c r="O19" s="61">
        <f t="shared" ref="O19:W19" si="14">SUM(O10:O18)</f>
        <v>0</v>
      </c>
      <c r="P19" s="61">
        <f t="shared" si="14"/>
        <v>0</v>
      </c>
      <c r="Q19" s="61">
        <f t="shared" si="14"/>
        <v>0</v>
      </c>
      <c r="R19" s="61">
        <f t="shared" si="14"/>
        <v>0</v>
      </c>
      <c r="S19" s="61">
        <f t="shared" si="14"/>
        <v>0</v>
      </c>
      <c r="T19" s="61">
        <f t="shared" si="14"/>
        <v>0</v>
      </c>
      <c r="U19" s="61">
        <f t="shared" si="14"/>
        <v>0</v>
      </c>
      <c r="V19" s="61">
        <f t="shared" si="14"/>
        <v>0</v>
      </c>
      <c r="W19" s="61">
        <f t="shared" si="14"/>
        <v>47519511</v>
      </c>
      <c r="Y19" s="61">
        <f t="shared" ref="Y19:AA19" si="15">SUM(Y10:Y18)</f>
        <v>0</v>
      </c>
      <c r="Z19" s="61">
        <f t="shared" si="15"/>
        <v>0</v>
      </c>
      <c r="AA19" s="61">
        <f t="shared" si="15"/>
        <v>47519511</v>
      </c>
      <c r="AB19" s="72">
        <f t="shared" si="9"/>
        <v>0</v>
      </c>
      <c r="AD19" s="29"/>
      <c r="AE19" s="61">
        <f t="shared" ref="AE19:AM19" si="16">SUM(AE10:AE18)</f>
        <v>0</v>
      </c>
      <c r="AF19" s="61">
        <f t="shared" si="16"/>
        <v>0</v>
      </c>
      <c r="AG19" s="61">
        <f t="shared" si="16"/>
        <v>0</v>
      </c>
      <c r="AH19" s="61">
        <f t="shared" si="16"/>
        <v>0</v>
      </c>
      <c r="AI19" s="61">
        <f t="shared" si="16"/>
        <v>0</v>
      </c>
      <c r="AJ19" s="61">
        <f t="shared" si="16"/>
        <v>0</v>
      </c>
      <c r="AK19" s="61">
        <f t="shared" si="16"/>
        <v>0</v>
      </c>
      <c r="AL19" s="61">
        <f t="shared" si="16"/>
        <v>0</v>
      </c>
      <c r="AM19" s="61">
        <f t="shared" si="16"/>
        <v>47519511</v>
      </c>
      <c r="AO19" s="61">
        <f t="shared" ref="AO19:AQ19" si="17">SUM(AO10:AO18)</f>
        <v>0</v>
      </c>
      <c r="AP19" s="61">
        <f t="shared" si="17"/>
        <v>0</v>
      </c>
      <c r="AQ19" s="61">
        <f t="shared" si="17"/>
        <v>47519511</v>
      </c>
      <c r="AR19" s="72">
        <f t="shared" si="12"/>
        <v>0</v>
      </c>
    </row>
    <row r="20" spans="1:44" x14ac:dyDescent="0.45">
      <c r="A20" s="118">
        <f t="shared" si="5"/>
        <v>12</v>
      </c>
      <c r="B20" s="37"/>
      <c r="C20" s="37"/>
      <c r="D20" s="34"/>
      <c r="E20" s="39"/>
      <c r="F20" s="75"/>
      <c r="G20" s="39"/>
      <c r="H20" s="39"/>
      <c r="I20" s="39"/>
      <c r="J20" s="39"/>
      <c r="K20" s="39"/>
      <c r="L20" s="75"/>
      <c r="N20" s="75"/>
      <c r="O20" s="39"/>
      <c r="P20" s="39"/>
      <c r="Q20" s="39"/>
      <c r="R20" s="39"/>
      <c r="S20" s="39"/>
      <c r="T20" s="39"/>
      <c r="U20" s="39"/>
      <c r="V20" s="39"/>
      <c r="W20" s="39"/>
      <c r="Y20" s="39"/>
      <c r="Z20" s="39"/>
      <c r="AA20" s="39"/>
      <c r="AB20" s="75"/>
      <c r="AD20" s="75"/>
      <c r="AE20" s="39"/>
      <c r="AF20" s="39"/>
      <c r="AG20" s="39"/>
      <c r="AH20" s="39"/>
      <c r="AI20" s="39"/>
      <c r="AJ20" s="39"/>
      <c r="AK20" s="39"/>
      <c r="AL20" s="39"/>
      <c r="AM20" s="39"/>
      <c r="AO20" s="39"/>
      <c r="AP20" s="39"/>
      <c r="AQ20" s="39"/>
      <c r="AR20" s="75"/>
    </row>
    <row r="21" spans="1:44" x14ac:dyDescent="0.45">
      <c r="A21" s="118">
        <f t="shared" si="5"/>
        <v>13</v>
      </c>
      <c r="B21" s="35" t="s">
        <v>268</v>
      </c>
      <c r="C21" s="35"/>
      <c r="D21" s="34"/>
      <c r="E21" s="39"/>
      <c r="F21" s="75"/>
      <c r="G21" s="39"/>
      <c r="H21" s="39"/>
      <c r="I21" s="39"/>
      <c r="J21" s="39"/>
      <c r="K21" s="39"/>
      <c r="L21" s="75"/>
      <c r="N21" s="75"/>
      <c r="O21" s="39"/>
      <c r="P21" s="39"/>
      <c r="Q21" s="39"/>
      <c r="R21" s="39"/>
      <c r="S21" s="39"/>
      <c r="T21" s="39"/>
      <c r="U21" s="39"/>
      <c r="V21" s="39"/>
      <c r="W21" s="39"/>
      <c r="Y21" s="39"/>
      <c r="Z21" s="39"/>
      <c r="AA21" s="39"/>
      <c r="AB21" s="75"/>
      <c r="AD21" s="75"/>
      <c r="AE21" s="39"/>
      <c r="AF21" s="39"/>
      <c r="AG21" s="39"/>
      <c r="AH21" s="39"/>
      <c r="AI21" s="39"/>
      <c r="AJ21" s="39"/>
      <c r="AK21" s="39"/>
      <c r="AL21" s="39"/>
      <c r="AM21" s="39"/>
      <c r="AO21" s="39"/>
      <c r="AP21" s="39"/>
      <c r="AQ21" s="39"/>
      <c r="AR21" s="75"/>
    </row>
    <row r="22" spans="1:44" x14ac:dyDescent="0.45">
      <c r="A22" s="118">
        <f t="shared" si="5"/>
        <v>14</v>
      </c>
      <c r="B22" s="57">
        <v>510</v>
      </c>
      <c r="C22" s="34" t="s">
        <v>269</v>
      </c>
      <c r="D22" s="34" t="s">
        <v>270</v>
      </c>
      <c r="E22" s="25">
        <v>0</v>
      </c>
      <c r="F22" s="8">
        <v>101</v>
      </c>
      <c r="G22" s="1">
        <f>VLOOKUP($F22,AF!$B$39:$M$80,G$9)*$E22</f>
        <v>0</v>
      </c>
      <c r="H22" s="1">
        <f>VLOOKUP($F22,AF!$B$39:$M$80,H$9)*$E22</f>
        <v>0</v>
      </c>
      <c r="I22" s="1">
        <f>VLOOKUP($F22,AF!$B$39:$M$80,I$9)*$E22</f>
        <v>0</v>
      </c>
      <c r="J22" s="1">
        <f>VLOOKUP($F22,AF!$B$39:$M$80,J$9)*$E22</f>
        <v>0</v>
      </c>
      <c r="K22" s="1">
        <f t="shared" ref="K22:K26" si="18">E22-SUM(G22:J22)</f>
        <v>0</v>
      </c>
      <c r="L22" s="72">
        <f t="shared" ref="L22:L27" si="19">$E22-SUM(G22:K22)</f>
        <v>0</v>
      </c>
      <c r="N22" s="8">
        <v>206</v>
      </c>
      <c r="O22" s="1">
        <f>VLOOKUP($N22,AF!$B$39:$M$80,O$9)*$G22</f>
        <v>0</v>
      </c>
      <c r="P22" s="1">
        <f>VLOOKUP($N22,AF!$B$39:$M$80,P$9)*$G22</f>
        <v>0</v>
      </c>
      <c r="Q22" s="1">
        <f>VLOOKUP($N22,AF!$B$39:$M$80,Q$9)*$H22</f>
        <v>0</v>
      </c>
      <c r="R22" s="1">
        <f>VLOOKUP($N22,AF!$B$39:$M$80,R$9)*$H22</f>
        <v>0</v>
      </c>
      <c r="S22" s="1">
        <f>VLOOKUP($N22,AF!$B$39:$M$80,S$9)*$I22</f>
        <v>0</v>
      </c>
      <c r="T22" s="1">
        <f>VLOOKUP($N22,AF!$B$39:$M$80,T$9)*$I22</f>
        <v>0</v>
      </c>
      <c r="U22" s="1">
        <f>VLOOKUP($N22,AF!$B$39:$M$80,U$9)*$J22</f>
        <v>0</v>
      </c>
      <c r="V22" s="1">
        <f>VLOOKUP($N22,AF!$B$39:$M$80,V$9)*$J22</f>
        <v>0</v>
      </c>
      <c r="W22" s="1">
        <f t="shared" ref="W22:W26" si="20">E22-SUM(O22:V22)</f>
        <v>0</v>
      </c>
      <c r="Y22" s="1">
        <f t="shared" ref="Y22:Z26" si="21">+O22+Q22+S22+U22</f>
        <v>0</v>
      </c>
      <c r="Z22" s="1">
        <f t="shared" si="21"/>
        <v>0</v>
      </c>
      <c r="AA22" s="1">
        <f t="shared" ref="AA22:AA26" si="22">+Z22+Y22+W22</f>
        <v>0</v>
      </c>
      <c r="AB22" s="72">
        <f t="shared" ref="AB22:AB27" si="23">$E22-AA22</f>
        <v>0</v>
      </c>
      <c r="AD22" s="72">
        <v>302</v>
      </c>
      <c r="AE22" s="1">
        <f>VLOOKUP($AD22,AF!$B$39:$M$80,AE$9)*$O22</f>
        <v>0</v>
      </c>
      <c r="AF22" s="1">
        <f>VLOOKUP($AD22,AF!$B$39:$M$80,AF$9)*$P22</f>
        <v>0</v>
      </c>
      <c r="AG22" s="1">
        <f>VLOOKUP($AD22,AF!$B$39:$M$80,AG$9)*$Q22</f>
        <v>0</v>
      </c>
      <c r="AH22" s="1">
        <f>VLOOKUP($AD22,AF!$B$39:$M$80,AH$9)*$R22</f>
        <v>0</v>
      </c>
      <c r="AI22" s="1">
        <f>VLOOKUP($AD22,AF!$B$39:$M$80,AI$9)*$S22</f>
        <v>0</v>
      </c>
      <c r="AJ22" s="1">
        <f>VLOOKUP($AD22,AF!$B$39:$M$80,AJ$9)*$T22</f>
        <v>0</v>
      </c>
      <c r="AK22" s="1">
        <f>VLOOKUP($AD22,AF!$B$39:$M$80,AK$9)*$U22</f>
        <v>0</v>
      </c>
      <c r="AL22" s="1">
        <f>VLOOKUP($AD22,AF!$B$39:$M$80,AL$9)*$V22</f>
        <v>0</v>
      </c>
      <c r="AM22" s="1">
        <f t="shared" ref="AM22:AM26" si="24">E22-SUM(AE22:AL22)</f>
        <v>0</v>
      </c>
      <c r="AO22" s="1">
        <f t="shared" ref="AO22:AP26" si="25">+AE22+AG22+AI22+AK22</f>
        <v>0</v>
      </c>
      <c r="AP22" s="1">
        <f t="shared" si="25"/>
        <v>0</v>
      </c>
      <c r="AQ22" s="1">
        <f t="shared" ref="AQ22:AQ26" si="26">+AP22+AO22+AM22</f>
        <v>0</v>
      </c>
      <c r="AR22" s="72">
        <f t="shared" ref="AR22:AR27" si="27">$E22-AQ22</f>
        <v>0</v>
      </c>
    </row>
    <row r="23" spans="1:44" x14ac:dyDescent="0.45">
      <c r="A23" s="118">
        <f t="shared" si="5"/>
        <v>15</v>
      </c>
      <c r="B23" s="79">
        <v>511</v>
      </c>
      <c r="C23" s="37" t="s">
        <v>271</v>
      </c>
      <c r="D23" s="34" t="s">
        <v>272</v>
      </c>
      <c r="E23" s="25">
        <v>0</v>
      </c>
      <c r="F23" s="8">
        <v>101</v>
      </c>
      <c r="G23" s="1">
        <f>VLOOKUP($F23,AF!$B$39:$M$80,G$9)*$E23</f>
        <v>0</v>
      </c>
      <c r="H23" s="1">
        <f>VLOOKUP($F23,AF!$B$39:$M$80,H$9)*$E23</f>
        <v>0</v>
      </c>
      <c r="I23" s="1">
        <f>VLOOKUP($F23,AF!$B$39:$M$80,I$9)*$E23</f>
        <v>0</v>
      </c>
      <c r="J23" s="1">
        <f>VLOOKUP($F23,AF!$B$39:$M$80,J$9)*$E23</f>
        <v>0</v>
      </c>
      <c r="K23" s="1">
        <f t="shared" si="18"/>
        <v>0</v>
      </c>
      <c r="L23" s="72">
        <f t="shared" si="19"/>
        <v>0</v>
      </c>
      <c r="N23" s="8">
        <v>206</v>
      </c>
      <c r="O23" s="1">
        <f>VLOOKUP($N23,AF!$B$39:$M$80,O$9)*$G23</f>
        <v>0</v>
      </c>
      <c r="P23" s="1">
        <f>VLOOKUP($N23,AF!$B$39:$M$80,P$9)*$G23</f>
        <v>0</v>
      </c>
      <c r="Q23" s="1">
        <f>VLOOKUP($N23,AF!$B$39:$M$80,Q$9)*$H23</f>
        <v>0</v>
      </c>
      <c r="R23" s="1">
        <f>VLOOKUP($N23,AF!$B$39:$M$80,R$9)*$H23</f>
        <v>0</v>
      </c>
      <c r="S23" s="1">
        <f>VLOOKUP($N23,AF!$B$39:$M$80,S$9)*$I23</f>
        <v>0</v>
      </c>
      <c r="T23" s="1">
        <f>VLOOKUP($N23,AF!$B$39:$M$80,T$9)*$I23</f>
        <v>0</v>
      </c>
      <c r="U23" s="1">
        <f>VLOOKUP($N23,AF!$B$39:$M$80,U$9)*$J23</f>
        <v>0</v>
      </c>
      <c r="V23" s="1">
        <f>VLOOKUP($N23,AF!$B$39:$M$80,V$9)*$J23</f>
        <v>0</v>
      </c>
      <c r="W23" s="1">
        <f t="shared" si="20"/>
        <v>0</v>
      </c>
      <c r="Y23" s="1">
        <f t="shared" si="21"/>
        <v>0</v>
      </c>
      <c r="Z23" s="1">
        <f t="shared" si="21"/>
        <v>0</v>
      </c>
      <c r="AA23" s="1">
        <f t="shared" si="22"/>
        <v>0</v>
      </c>
      <c r="AB23" s="72">
        <f t="shared" si="23"/>
        <v>0</v>
      </c>
      <c r="AD23" s="72">
        <v>302</v>
      </c>
      <c r="AE23" s="1">
        <f>VLOOKUP($AD23,AF!$B$39:$M$80,AE$9)*$O23</f>
        <v>0</v>
      </c>
      <c r="AF23" s="1">
        <f>VLOOKUP($AD23,AF!$B$39:$M$80,AF$9)*$P23</f>
        <v>0</v>
      </c>
      <c r="AG23" s="1">
        <f>VLOOKUP($AD23,AF!$B$39:$M$80,AG$9)*$Q23</f>
        <v>0</v>
      </c>
      <c r="AH23" s="1">
        <f>VLOOKUP($AD23,AF!$B$39:$M$80,AH$9)*$R23</f>
        <v>0</v>
      </c>
      <c r="AI23" s="1">
        <f>VLOOKUP($AD23,AF!$B$39:$M$80,AI$9)*$S23</f>
        <v>0</v>
      </c>
      <c r="AJ23" s="1">
        <f>VLOOKUP($AD23,AF!$B$39:$M$80,AJ$9)*$T23</f>
        <v>0</v>
      </c>
      <c r="AK23" s="1">
        <f>VLOOKUP($AD23,AF!$B$39:$M$80,AK$9)*$U23</f>
        <v>0</v>
      </c>
      <c r="AL23" s="1">
        <f>VLOOKUP($AD23,AF!$B$39:$M$80,AL$9)*$V23</f>
        <v>0</v>
      </c>
      <c r="AM23" s="1">
        <f t="shared" si="24"/>
        <v>0</v>
      </c>
      <c r="AO23" s="1">
        <f t="shared" si="25"/>
        <v>0</v>
      </c>
      <c r="AP23" s="1">
        <f t="shared" si="25"/>
        <v>0</v>
      </c>
      <c r="AQ23" s="1">
        <f t="shared" si="26"/>
        <v>0</v>
      </c>
      <c r="AR23" s="72">
        <f t="shared" si="27"/>
        <v>0</v>
      </c>
    </row>
    <row r="24" spans="1:44" x14ac:dyDescent="0.45">
      <c r="A24" s="118">
        <f t="shared" si="5"/>
        <v>16</v>
      </c>
      <c r="B24" s="79">
        <v>512</v>
      </c>
      <c r="C24" s="37" t="s">
        <v>273</v>
      </c>
      <c r="D24" s="34" t="s">
        <v>274</v>
      </c>
      <c r="E24" s="25">
        <v>2830775</v>
      </c>
      <c r="F24" s="8">
        <v>101</v>
      </c>
      <c r="G24" s="1">
        <f>VLOOKUP($F24,AF!$B$39:$M$80,G$9)*$E24</f>
        <v>0</v>
      </c>
      <c r="H24" s="1">
        <f>VLOOKUP($F24,AF!$B$39:$M$80,H$9)*$E24</f>
        <v>0</v>
      </c>
      <c r="I24" s="1">
        <f>VLOOKUP($F24,AF!$B$39:$M$80,I$9)*$E24</f>
        <v>0</v>
      </c>
      <c r="J24" s="1">
        <f>VLOOKUP($F24,AF!$B$39:$M$80,J$9)*$E24</f>
        <v>0</v>
      </c>
      <c r="K24" s="1">
        <f t="shared" si="18"/>
        <v>2830775</v>
      </c>
      <c r="L24" s="72">
        <f t="shared" si="19"/>
        <v>0</v>
      </c>
      <c r="N24" s="8">
        <v>206</v>
      </c>
      <c r="O24" s="1">
        <f>VLOOKUP($N24,AF!$B$39:$M$80,O$9)*$G24</f>
        <v>0</v>
      </c>
      <c r="P24" s="1">
        <f>VLOOKUP($N24,AF!$B$39:$M$80,P$9)*$G24</f>
        <v>0</v>
      </c>
      <c r="Q24" s="1">
        <f>VLOOKUP($N24,AF!$B$39:$M$80,Q$9)*$H24</f>
        <v>0</v>
      </c>
      <c r="R24" s="1">
        <f>VLOOKUP($N24,AF!$B$39:$M$80,R$9)*$H24</f>
        <v>0</v>
      </c>
      <c r="S24" s="1">
        <f>VLOOKUP($N24,AF!$B$39:$M$80,S$9)*$I24</f>
        <v>0</v>
      </c>
      <c r="T24" s="1">
        <f>VLOOKUP($N24,AF!$B$39:$M$80,T$9)*$I24</f>
        <v>0</v>
      </c>
      <c r="U24" s="1">
        <f>VLOOKUP($N24,AF!$B$39:$M$80,U$9)*$J24</f>
        <v>0</v>
      </c>
      <c r="V24" s="1">
        <f>VLOOKUP($N24,AF!$B$39:$M$80,V$9)*$J24</f>
        <v>0</v>
      </c>
      <c r="W24" s="1">
        <f t="shared" si="20"/>
        <v>2830775</v>
      </c>
      <c r="Y24" s="1">
        <f t="shared" si="21"/>
        <v>0</v>
      </c>
      <c r="Z24" s="1">
        <f t="shared" si="21"/>
        <v>0</v>
      </c>
      <c r="AA24" s="1">
        <f t="shared" si="22"/>
        <v>2830775</v>
      </c>
      <c r="AB24" s="72">
        <f t="shared" si="23"/>
        <v>0</v>
      </c>
      <c r="AD24" s="72">
        <v>302</v>
      </c>
      <c r="AE24" s="1">
        <f>VLOOKUP($AD24,AF!$B$39:$M$80,AE$9)*$O24</f>
        <v>0</v>
      </c>
      <c r="AF24" s="1">
        <f>VLOOKUP($AD24,AF!$B$39:$M$80,AF$9)*$P24</f>
        <v>0</v>
      </c>
      <c r="AG24" s="1">
        <f>VLOOKUP($AD24,AF!$B$39:$M$80,AG$9)*$Q24</f>
        <v>0</v>
      </c>
      <c r="AH24" s="1">
        <f>VLOOKUP($AD24,AF!$B$39:$M$80,AH$9)*$R24</f>
        <v>0</v>
      </c>
      <c r="AI24" s="1">
        <f>VLOOKUP($AD24,AF!$B$39:$M$80,AI$9)*$S24</f>
        <v>0</v>
      </c>
      <c r="AJ24" s="1">
        <f>VLOOKUP($AD24,AF!$B$39:$M$80,AJ$9)*$T24</f>
        <v>0</v>
      </c>
      <c r="AK24" s="1">
        <f>VLOOKUP($AD24,AF!$B$39:$M$80,AK$9)*$U24</f>
        <v>0</v>
      </c>
      <c r="AL24" s="1">
        <f>VLOOKUP($AD24,AF!$B$39:$M$80,AL$9)*$V24</f>
        <v>0</v>
      </c>
      <c r="AM24" s="1">
        <f t="shared" si="24"/>
        <v>2830775</v>
      </c>
      <c r="AO24" s="1">
        <f t="shared" si="25"/>
        <v>0</v>
      </c>
      <c r="AP24" s="1">
        <f t="shared" si="25"/>
        <v>0</v>
      </c>
      <c r="AQ24" s="1">
        <f t="shared" si="26"/>
        <v>2830775</v>
      </c>
      <c r="AR24" s="72">
        <f t="shared" si="27"/>
        <v>0</v>
      </c>
    </row>
    <row r="25" spans="1:44" x14ac:dyDescent="0.45">
      <c r="A25" s="118">
        <f t="shared" si="5"/>
        <v>17</v>
      </c>
      <c r="B25" s="79">
        <v>513</v>
      </c>
      <c r="C25" s="37" t="s">
        <v>275</v>
      </c>
      <c r="D25" s="34" t="s">
        <v>276</v>
      </c>
      <c r="E25" s="25">
        <v>4064974</v>
      </c>
      <c r="F25" s="8">
        <v>101</v>
      </c>
      <c r="G25" s="1">
        <f>VLOOKUP($F25,AF!$B$39:$M$80,G$9)*$E25</f>
        <v>0</v>
      </c>
      <c r="H25" s="1">
        <f>VLOOKUP($F25,AF!$B$39:$M$80,H$9)*$E25</f>
        <v>0</v>
      </c>
      <c r="I25" s="1">
        <f>VLOOKUP($F25,AF!$B$39:$M$80,I$9)*$E25</f>
        <v>0</v>
      </c>
      <c r="J25" s="1">
        <f>VLOOKUP($F25,AF!$B$39:$M$80,J$9)*$E25</f>
        <v>0</v>
      </c>
      <c r="K25" s="1">
        <f t="shared" si="18"/>
        <v>4064974</v>
      </c>
      <c r="L25" s="72">
        <f t="shared" si="19"/>
        <v>0</v>
      </c>
      <c r="N25" s="8">
        <v>206</v>
      </c>
      <c r="O25" s="1">
        <f>VLOOKUP($N25,AF!$B$39:$M$80,O$9)*$G25</f>
        <v>0</v>
      </c>
      <c r="P25" s="1">
        <f>VLOOKUP($N25,AF!$B$39:$M$80,P$9)*$G25</f>
        <v>0</v>
      </c>
      <c r="Q25" s="1">
        <f>VLOOKUP($N25,AF!$B$39:$M$80,Q$9)*$H25</f>
        <v>0</v>
      </c>
      <c r="R25" s="1">
        <f>VLOOKUP($N25,AF!$B$39:$M$80,R$9)*$H25</f>
        <v>0</v>
      </c>
      <c r="S25" s="1">
        <f>VLOOKUP($N25,AF!$B$39:$M$80,S$9)*$I25</f>
        <v>0</v>
      </c>
      <c r="T25" s="1">
        <f>VLOOKUP($N25,AF!$B$39:$M$80,T$9)*$I25</f>
        <v>0</v>
      </c>
      <c r="U25" s="1">
        <f>VLOOKUP($N25,AF!$B$39:$M$80,U$9)*$J25</f>
        <v>0</v>
      </c>
      <c r="V25" s="1">
        <f>VLOOKUP($N25,AF!$B$39:$M$80,V$9)*$J25</f>
        <v>0</v>
      </c>
      <c r="W25" s="1">
        <f t="shared" si="20"/>
        <v>4064974</v>
      </c>
      <c r="Y25" s="1">
        <f t="shared" si="21"/>
        <v>0</v>
      </c>
      <c r="Z25" s="1">
        <f t="shared" si="21"/>
        <v>0</v>
      </c>
      <c r="AA25" s="1">
        <f t="shared" si="22"/>
        <v>4064974</v>
      </c>
      <c r="AB25" s="72">
        <f t="shared" si="23"/>
        <v>0</v>
      </c>
      <c r="AD25" s="72">
        <v>302</v>
      </c>
      <c r="AE25" s="1">
        <f>VLOOKUP($AD25,AF!$B$39:$M$80,AE$9)*$O25</f>
        <v>0</v>
      </c>
      <c r="AF25" s="1">
        <f>VLOOKUP($AD25,AF!$B$39:$M$80,AF$9)*$P25</f>
        <v>0</v>
      </c>
      <c r="AG25" s="1">
        <f>VLOOKUP($AD25,AF!$B$39:$M$80,AG$9)*$Q25</f>
        <v>0</v>
      </c>
      <c r="AH25" s="1">
        <f>VLOOKUP($AD25,AF!$B$39:$M$80,AH$9)*$R25</f>
        <v>0</v>
      </c>
      <c r="AI25" s="1">
        <f>VLOOKUP($AD25,AF!$B$39:$M$80,AI$9)*$S25</f>
        <v>0</v>
      </c>
      <c r="AJ25" s="1">
        <f>VLOOKUP($AD25,AF!$B$39:$M$80,AJ$9)*$T25</f>
        <v>0</v>
      </c>
      <c r="AK25" s="1">
        <f>VLOOKUP($AD25,AF!$B$39:$M$80,AK$9)*$U25</f>
        <v>0</v>
      </c>
      <c r="AL25" s="1">
        <f>VLOOKUP($AD25,AF!$B$39:$M$80,AL$9)*$V25</f>
        <v>0</v>
      </c>
      <c r="AM25" s="1">
        <f t="shared" si="24"/>
        <v>4064974</v>
      </c>
      <c r="AO25" s="1">
        <f t="shared" si="25"/>
        <v>0</v>
      </c>
      <c r="AP25" s="1">
        <f t="shared" si="25"/>
        <v>0</v>
      </c>
      <c r="AQ25" s="1">
        <f t="shared" si="26"/>
        <v>4064974</v>
      </c>
      <c r="AR25" s="72">
        <f t="shared" si="27"/>
        <v>0</v>
      </c>
    </row>
    <row r="26" spans="1:44" x14ac:dyDescent="0.45">
      <c r="A26" s="118">
        <f t="shared" si="5"/>
        <v>18</v>
      </c>
      <c r="B26" s="79">
        <v>514</v>
      </c>
      <c r="C26" s="37" t="s">
        <v>277</v>
      </c>
      <c r="D26" s="34" t="s">
        <v>278</v>
      </c>
      <c r="E26" s="25">
        <v>0</v>
      </c>
      <c r="F26" s="8">
        <v>101</v>
      </c>
      <c r="G26" s="1">
        <f>VLOOKUP($F26,AF!$B$39:$M$80,G$9)*$E26</f>
        <v>0</v>
      </c>
      <c r="H26" s="1">
        <f>VLOOKUP($F26,AF!$B$39:$M$80,H$9)*$E26</f>
        <v>0</v>
      </c>
      <c r="I26" s="1">
        <f>VLOOKUP($F26,AF!$B$39:$M$80,I$9)*$E26</f>
        <v>0</v>
      </c>
      <c r="J26" s="1">
        <f>VLOOKUP($F26,AF!$B$39:$M$80,J$9)*$E26</f>
        <v>0</v>
      </c>
      <c r="K26" s="1">
        <f t="shared" si="18"/>
        <v>0</v>
      </c>
      <c r="L26" s="72">
        <f t="shared" si="19"/>
        <v>0</v>
      </c>
      <c r="N26" s="8">
        <v>206</v>
      </c>
      <c r="O26" s="1">
        <f>VLOOKUP($N26,AF!$B$39:$M$80,O$9)*$G26</f>
        <v>0</v>
      </c>
      <c r="P26" s="1">
        <f>VLOOKUP($N26,AF!$B$39:$M$80,P$9)*$G26</f>
        <v>0</v>
      </c>
      <c r="Q26" s="1">
        <f>VLOOKUP($N26,AF!$B$39:$M$80,Q$9)*$H26</f>
        <v>0</v>
      </c>
      <c r="R26" s="1">
        <f>VLOOKUP($N26,AF!$B$39:$M$80,R$9)*$H26</f>
        <v>0</v>
      </c>
      <c r="S26" s="1">
        <f>VLOOKUP($N26,AF!$B$39:$M$80,S$9)*$I26</f>
        <v>0</v>
      </c>
      <c r="T26" s="1">
        <f>VLOOKUP($N26,AF!$B$39:$M$80,T$9)*$I26</f>
        <v>0</v>
      </c>
      <c r="U26" s="1">
        <f>VLOOKUP($N26,AF!$B$39:$M$80,U$9)*$J26</f>
        <v>0</v>
      </c>
      <c r="V26" s="1">
        <f>VLOOKUP($N26,AF!$B$39:$M$80,V$9)*$J26</f>
        <v>0</v>
      </c>
      <c r="W26" s="1">
        <f t="shared" si="20"/>
        <v>0</v>
      </c>
      <c r="Y26" s="1">
        <f t="shared" si="21"/>
        <v>0</v>
      </c>
      <c r="Z26" s="1">
        <f t="shared" si="21"/>
        <v>0</v>
      </c>
      <c r="AA26" s="1">
        <f t="shared" si="22"/>
        <v>0</v>
      </c>
      <c r="AB26" s="72">
        <f t="shared" si="23"/>
        <v>0</v>
      </c>
      <c r="AD26" s="72">
        <v>302</v>
      </c>
      <c r="AE26" s="1">
        <f>VLOOKUP($AD26,AF!$B$39:$M$80,AE$9)*$O26</f>
        <v>0</v>
      </c>
      <c r="AF26" s="1">
        <f>VLOOKUP($AD26,AF!$B$39:$M$80,AF$9)*$P26</f>
        <v>0</v>
      </c>
      <c r="AG26" s="1">
        <f>VLOOKUP($AD26,AF!$B$39:$M$80,AG$9)*$Q26</f>
        <v>0</v>
      </c>
      <c r="AH26" s="1">
        <f>VLOOKUP($AD26,AF!$B$39:$M$80,AH$9)*$R26</f>
        <v>0</v>
      </c>
      <c r="AI26" s="1">
        <f>VLOOKUP($AD26,AF!$B$39:$M$80,AI$9)*$S26</f>
        <v>0</v>
      </c>
      <c r="AJ26" s="1">
        <f>VLOOKUP($AD26,AF!$B$39:$M$80,AJ$9)*$T26</f>
        <v>0</v>
      </c>
      <c r="AK26" s="1">
        <f>VLOOKUP($AD26,AF!$B$39:$M$80,AK$9)*$U26</f>
        <v>0</v>
      </c>
      <c r="AL26" s="1">
        <f>VLOOKUP($AD26,AF!$B$39:$M$80,AL$9)*$V26</f>
        <v>0</v>
      </c>
      <c r="AM26" s="1">
        <f t="shared" si="24"/>
        <v>0</v>
      </c>
      <c r="AO26" s="1">
        <f t="shared" si="25"/>
        <v>0</v>
      </c>
      <c r="AP26" s="1">
        <f t="shared" si="25"/>
        <v>0</v>
      </c>
      <c r="AQ26" s="1">
        <f t="shared" si="26"/>
        <v>0</v>
      </c>
      <c r="AR26" s="72">
        <f t="shared" si="27"/>
        <v>0</v>
      </c>
    </row>
    <row r="27" spans="1:44" x14ac:dyDescent="0.45">
      <c r="A27" s="118">
        <f t="shared" si="5"/>
        <v>19</v>
      </c>
      <c r="B27" s="37"/>
      <c r="C27" s="37" t="s">
        <v>0</v>
      </c>
      <c r="D27" s="34"/>
      <c r="E27" s="61">
        <f>SUM(E22:E26)</f>
        <v>6895749</v>
      </c>
      <c r="F27" s="29"/>
      <c r="G27" s="61">
        <f t="shared" ref="G27:I27" si="28">SUM(G22:G26)</f>
        <v>0</v>
      </c>
      <c r="H27" s="61">
        <f t="shared" si="28"/>
        <v>0</v>
      </c>
      <c r="I27" s="61">
        <f t="shared" si="28"/>
        <v>0</v>
      </c>
      <c r="J27" s="61">
        <f t="shared" ref="J27:K27" si="29">SUM(J22:J26)</f>
        <v>0</v>
      </c>
      <c r="K27" s="61">
        <f t="shared" si="29"/>
        <v>6895749</v>
      </c>
      <c r="L27" s="72">
        <f t="shared" si="19"/>
        <v>0</v>
      </c>
      <c r="N27" s="29"/>
      <c r="O27" s="61">
        <f t="shared" ref="O27" si="30">SUM(O22:O26)</f>
        <v>0</v>
      </c>
      <c r="P27" s="61">
        <f t="shared" ref="P27:W27" si="31">SUM(P22:P26)</f>
        <v>0</v>
      </c>
      <c r="Q27" s="61">
        <f t="shared" si="31"/>
        <v>0</v>
      </c>
      <c r="R27" s="61">
        <f t="shared" ref="R27" si="32">SUM(R22:R26)</f>
        <v>0</v>
      </c>
      <c r="S27" s="61">
        <f t="shared" si="31"/>
        <v>0</v>
      </c>
      <c r="T27" s="61">
        <f t="shared" ref="T27" si="33">SUM(T22:T26)</f>
        <v>0</v>
      </c>
      <c r="U27" s="61">
        <f t="shared" si="31"/>
        <v>0</v>
      </c>
      <c r="V27" s="61">
        <f t="shared" ref="V27" si="34">SUM(V22:V26)</f>
        <v>0</v>
      </c>
      <c r="W27" s="61">
        <f t="shared" si="31"/>
        <v>6895749</v>
      </c>
      <c r="Y27" s="61">
        <f t="shared" ref="Y27:AA27" si="35">SUM(Y22:Y26)</f>
        <v>0</v>
      </c>
      <c r="Z27" s="61">
        <f t="shared" si="35"/>
        <v>0</v>
      </c>
      <c r="AA27" s="61">
        <f t="shared" si="35"/>
        <v>6895749</v>
      </c>
      <c r="AB27" s="72">
        <f t="shared" si="23"/>
        <v>0</v>
      </c>
      <c r="AD27" s="29"/>
      <c r="AE27" s="61">
        <f t="shared" ref="AE27:AM27" si="36">SUM(AE22:AE26)</f>
        <v>0</v>
      </c>
      <c r="AF27" s="61">
        <f t="shared" si="36"/>
        <v>0</v>
      </c>
      <c r="AG27" s="61">
        <f t="shared" si="36"/>
        <v>0</v>
      </c>
      <c r="AH27" s="61">
        <f t="shared" si="36"/>
        <v>0</v>
      </c>
      <c r="AI27" s="61">
        <f t="shared" si="36"/>
        <v>0</v>
      </c>
      <c r="AJ27" s="61">
        <f t="shared" si="36"/>
        <v>0</v>
      </c>
      <c r="AK27" s="61">
        <f t="shared" si="36"/>
        <v>0</v>
      </c>
      <c r="AL27" s="61">
        <f t="shared" si="36"/>
        <v>0</v>
      </c>
      <c r="AM27" s="61">
        <f t="shared" si="36"/>
        <v>6895749</v>
      </c>
      <c r="AO27" s="61">
        <f t="shared" ref="AO27:AQ27" si="37">SUM(AO22:AO26)</f>
        <v>0</v>
      </c>
      <c r="AP27" s="61">
        <f t="shared" si="37"/>
        <v>0</v>
      </c>
      <c r="AQ27" s="61">
        <f t="shared" si="37"/>
        <v>6895749</v>
      </c>
      <c r="AR27" s="72">
        <f t="shared" si="27"/>
        <v>0</v>
      </c>
    </row>
    <row r="28" spans="1:44" x14ac:dyDescent="0.45">
      <c r="A28" s="118">
        <f t="shared" si="5"/>
        <v>20</v>
      </c>
      <c r="B28" s="37"/>
      <c r="C28" s="37"/>
      <c r="D28" s="34"/>
      <c r="E28" s="39"/>
      <c r="F28" s="75"/>
      <c r="G28" s="39"/>
      <c r="H28" s="1"/>
      <c r="I28" s="39"/>
      <c r="J28" s="39"/>
      <c r="K28" s="39"/>
      <c r="L28" s="75"/>
      <c r="N28" s="75"/>
      <c r="O28" s="39"/>
      <c r="P28" s="39"/>
      <c r="Q28" s="1"/>
      <c r="R28" s="1"/>
      <c r="S28" s="39"/>
      <c r="T28" s="39"/>
      <c r="U28" s="39"/>
      <c r="V28" s="39"/>
      <c r="W28" s="39"/>
      <c r="Y28" s="39"/>
      <c r="Z28" s="39"/>
      <c r="AA28" s="39"/>
      <c r="AB28" s="75"/>
      <c r="AD28" s="75"/>
      <c r="AE28" s="39"/>
      <c r="AF28" s="39"/>
      <c r="AG28" s="1"/>
      <c r="AH28" s="1"/>
      <c r="AI28" s="39"/>
      <c r="AJ28" s="39"/>
      <c r="AK28" s="39"/>
      <c r="AL28" s="39"/>
      <c r="AM28" s="39"/>
      <c r="AO28" s="39"/>
      <c r="AP28" s="39"/>
      <c r="AQ28" s="39"/>
      <c r="AR28" s="75"/>
    </row>
    <row r="29" spans="1:44" ht="14.65" thickBot="1" x14ac:dyDescent="0.5">
      <c r="A29" s="118">
        <f t="shared" si="5"/>
        <v>21</v>
      </c>
      <c r="B29" s="37" t="s">
        <v>391</v>
      </c>
      <c r="C29" s="37"/>
      <c r="D29" s="34"/>
      <c r="E29" s="62">
        <f>+E19+E27</f>
        <v>54415260</v>
      </c>
      <c r="F29" s="29"/>
      <c r="G29" s="62">
        <f t="shared" ref="G29:K29" si="38">+G19+G27</f>
        <v>0</v>
      </c>
      <c r="H29" s="62">
        <f t="shared" si="38"/>
        <v>0</v>
      </c>
      <c r="I29" s="62">
        <f t="shared" si="38"/>
        <v>0</v>
      </c>
      <c r="J29" s="62">
        <f t="shared" si="38"/>
        <v>0</v>
      </c>
      <c r="K29" s="62">
        <f t="shared" si="38"/>
        <v>54415260</v>
      </c>
      <c r="L29" s="72">
        <f>$E29-SUM(G29:K29)</f>
        <v>0</v>
      </c>
      <c r="N29" s="29"/>
      <c r="O29" s="62">
        <f t="shared" ref="O29:W29" si="39">+O19+O27</f>
        <v>0</v>
      </c>
      <c r="P29" s="62">
        <f t="shared" si="39"/>
        <v>0</v>
      </c>
      <c r="Q29" s="62">
        <f t="shared" si="39"/>
        <v>0</v>
      </c>
      <c r="R29" s="62">
        <f t="shared" si="39"/>
        <v>0</v>
      </c>
      <c r="S29" s="62">
        <f t="shared" si="39"/>
        <v>0</v>
      </c>
      <c r="T29" s="62">
        <f t="shared" si="39"/>
        <v>0</v>
      </c>
      <c r="U29" s="62">
        <f t="shared" si="39"/>
        <v>0</v>
      </c>
      <c r="V29" s="62">
        <f t="shared" si="39"/>
        <v>0</v>
      </c>
      <c r="W29" s="62">
        <f t="shared" si="39"/>
        <v>54415260</v>
      </c>
      <c r="Y29" s="62">
        <f t="shared" ref="Y29:AA29" si="40">+Y19+Y27</f>
        <v>0</v>
      </c>
      <c r="Z29" s="62">
        <f t="shared" si="40"/>
        <v>0</v>
      </c>
      <c r="AA29" s="62">
        <f t="shared" si="40"/>
        <v>54415260</v>
      </c>
      <c r="AB29" s="72">
        <f>$E29-AA29</f>
        <v>0</v>
      </c>
      <c r="AD29" s="29"/>
      <c r="AE29" s="62">
        <f t="shared" ref="AE29:AM29" si="41">+AE19+AE27</f>
        <v>0</v>
      </c>
      <c r="AF29" s="62">
        <f t="shared" si="41"/>
        <v>0</v>
      </c>
      <c r="AG29" s="62">
        <f t="shared" si="41"/>
        <v>0</v>
      </c>
      <c r="AH29" s="62">
        <f t="shared" si="41"/>
        <v>0</v>
      </c>
      <c r="AI29" s="62">
        <f t="shared" si="41"/>
        <v>0</v>
      </c>
      <c r="AJ29" s="62">
        <f t="shared" si="41"/>
        <v>0</v>
      </c>
      <c r="AK29" s="62">
        <f t="shared" si="41"/>
        <v>0</v>
      </c>
      <c r="AL29" s="62">
        <f t="shared" si="41"/>
        <v>0</v>
      </c>
      <c r="AM29" s="62">
        <f t="shared" si="41"/>
        <v>54415260</v>
      </c>
      <c r="AO29" s="62">
        <f t="shared" ref="AO29:AQ29" si="42">+AO19+AO27</f>
        <v>0</v>
      </c>
      <c r="AP29" s="62">
        <f t="shared" si="42"/>
        <v>0</v>
      </c>
      <c r="AQ29" s="62">
        <f t="shared" si="42"/>
        <v>54415260</v>
      </c>
      <c r="AR29" s="72">
        <f>$E29-AQ29</f>
        <v>0</v>
      </c>
    </row>
    <row r="30" spans="1:44" ht="14.65" thickTop="1" x14ac:dyDescent="0.45">
      <c r="A30" s="118">
        <f t="shared" si="5"/>
        <v>22</v>
      </c>
      <c r="B30" s="37"/>
      <c r="C30" s="37"/>
      <c r="D30" s="34"/>
      <c r="E30" s="39"/>
      <c r="F30" s="75"/>
      <c r="G30" s="39"/>
      <c r="H30" s="39"/>
      <c r="I30" s="39"/>
      <c r="J30" s="39"/>
      <c r="K30" s="39"/>
      <c r="L30" s="75"/>
      <c r="N30" s="75"/>
      <c r="O30" s="39"/>
      <c r="P30" s="39"/>
      <c r="Q30" s="39"/>
      <c r="R30" s="39"/>
      <c r="S30" s="39"/>
      <c r="T30" s="39"/>
      <c r="U30" s="39"/>
      <c r="V30" s="39"/>
      <c r="W30" s="39"/>
      <c r="Y30" s="39"/>
      <c r="Z30" s="39"/>
      <c r="AA30" s="39"/>
      <c r="AB30" s="75"/>
      <c r="AD30" s="75"/>
      <c r="AE30" s="39"/>
      <c r="AF30" s="39"/>
      <c r="AG30" s="39"/>
      <c r="AH30" s="39"/>
      <c r="AI30" s="39"/>
      <c r="AJ30" s="39"/>
      <c r="AK30" s="39"/>
      <c r="AL30" s="39"/>
      <c r="AM30" s="39"/>
      <c r="AO30" s="39"/>
      <c r="AP30" s="39"/>
      <c r="AQ30" s="39"/>
      <c r="AR30" s="75"/>
    </row>
    <row r="31" spans="1:44" x14ac:dyDescent="0.45">
      <c r="A31" s="118">
        <f t="shared" si="5"/>
        <v>23</v>
      </c>
      <c r="B31" s="37"/>
      <c r="C31" s="37"/>
      <c r="D31" s="34"/>
      <c r="E31" s="39"/>
      <c r="F31" s="75"/>
      <c r="G31" s="39"/>
      <c r="H31" s="39"/>
      <c r="I31" s="39"/>
      <c r="J31" s="39"/>
      <c r="K31" s="39"/>
      <c r="L31" s="75"/>
      <c r="N31" s="75"/>
      <c r="O31" s="39"/>
      <c r="P31" s="39"/>
      <c r="Q31" s="39"/>
      <c r="R31" s="39"/>
      <c r="S31" s="39"/>
      <c r="T31" s="39"/>
      <c r="U31" s="39"/>
      <c r="V31" s="39"/>
      <c r="W31" s="39"/>
      <c r="Y31" s="39"/>
      <c r="Z31" s="39"/>
      <c r="AA31" s="39"/>
      <c r="AB31" s="75"/>
      <c r="AD31" s="75"/>
      <c r="AE31" s="39"/>
      <c r="AF31" s="39"/>
      <c r="AG31" s="39"/>
      <c r="AH31" s="39"/>
      <c r="AI31" s="39"/>
      <c r="AJ31" s="39"/>
      <c r="AK31" s="39"/>
      <c r="AL31" s="39"/>
      <c r="AM31" s="39"/>
      <c r="AO31" s="39"/>
      <c r="AP31" s="39"/>
      <c r="AQ31" s="39"/>
      <c r="AR31" s="75"/>
    </row>
    <row r="32" spans="1:44" x14ac:dyDescent="0.45">
      <c r="A32" s="118">
        <f t="shared" si="5"/>
        <v>24</v>
      </c>
      <c r="B32" s="35" t="s">
        <v>279</v>
      </c>
      <c r="C32" s="35"/>
      <c r="D32" s="34"/>
      <c r="E32" s="39"/>
      <c r="G32" s="34"/>
      <c r="H32" s="34"/>
      <c r="I32" s="34"/>
      <c r="J32" s="34"/>
      <c r="K32" s="34"/>
      <c r="O32" s="34"/>
      <c r="P32" s="34"/>
      <c r="Q32" s="34"/>
      <c r="R32" s="34"/>
      <c r="S32" s="34"/>
      <c r="T32" s="34"/>
      <c r="U32" s="34"/>
      <c r="V32" s="34"/>
      <c r="W32" s="34"/>
      <c r="Y32" s="34"/>
      <c r="Z32" s="34"/>
      <c r="AA32" s="34"/>
      <c r="AE32" s="34"/>
      <c r="AF32" s="34"/>
      <c r="AG32" s="34"/>
      <c r="AH32" s="34"/>
      <c r="AI32" s="34"/>
      <c r="AJ32" s="34"/>
      <c r="AK32" s="34"/>
      <c r="AL32" s="34"/>
      <c r="AM32" s="34"/>
      <c r="AO32" s="34"/>
      <c r="AP32" s="34"/>
      <c r="AQ32" s="34"/>
    </row>
    <row r="33" spans="1:44" x14ac:dyDescent="0.45">
      <c r="A33" s="118">
        <f t="shared" si="5"/>
        <v>25</v>
      </c>
      <c r="B33" s="79">
        <v>546</v>
      </c>
      <c r="C33" s="37" t="s">
        <v>365</v>
      </c>
      <c r="D33" s="34" t="s">
        <v>280</v>
      </c>
      <c r="E33" s="25">
        <v>5527578</v>
      </c>
      <c r="F33" s="8">
        <v>101</v>
      </c>
      <c r="G33" s="1">
        <f>VLOOKUP($F33,AF!$B$39:$M$80,G$9)*$E33</f>
        <v>0</v>
      </c>
      <c r="H33" s="1">
        <f>VLOOKUP($F33,AF!$B$39:$M$80,H$9)*$E33</f>
        <v>0</v>
      </c>
      <c r="I33" s="1">
        <f>VLOOKUP($F33,AF!$B$39:$M$80,I$9)*$E33</f>
        <v>0</v>
      </c>
      <c r="J33" s="1">
        <f>VLOOKUP($F33,AF!$B$39:$M$80,J$9)*$E33</f>
        <v>0</v>
      </c>
      <c r="K33" s="1">
        <f t="shared" ref="K33:K37" si="43">E33-SUM(G33:J33)</f>
        <v>5527578</v>
      </c>
      <c r="L33" s="72">
        <f t="shared" ref="L33:L38" si="44">$E33-SUM(G33:K33)</f>
        <v>0</v>
      </c>
      <c r="N33" s="8">
        <v>206</v>
      </c>
      <c r="O33" s="1">
        <f>VLOOKUP($N33,AF!$B$39:$M$80,O$9)*$G33</f>
        <v>0</v>
      </c>
      <c r="P33" s="1">
        <f>VLOOKUP($N33,AF!$B$39:$M$80,P$9)*$G33</f>
        <v>0</v>
      </c>
      <c r="Q33" s="1">
        <f>VLOOKUP($N33,AF!$B$39:$M$80,Q$9)*$H33</f>
        <v>0</v>
      </c>
      <c r="R33" s="1">
        <f>VLOOKUP($N33,AF!$B$39:$M$80,R$9)*$H33</f>
        <v>0</v>
      </c>
      <c r="S33" s="1">
        <f>VLOOKUP($N33,AF!$B$39:$M$80,S$9)*$I33</f>
        <v>0</v>
      </c>
      <c r="T33" s="1">
        <f>VLOOKUP($N33,AF!$B$39:$M$80,T$9)*$I33</f>
        <v>0</v>
      </c>
      <c r="U33" s="1">
        <f>VLOOKUP($N33,AF!$B$39:$M$80,U$9)*$J33</f>
        <v>0</v>
      </c>
      <c r="V33" s="1">
        <f>VLOOKUP($N33,AF!$B$39:$M$80,V$9)*$J33</f>
        <v>0</v>
      </c>
      <c r="W33" s="1">
        <f t="shared" ref="W33:W37" si="45">E33-SUM(O33:V33)</f>
        <v>5527578</v>
      </c>
      <c r="Y33" s="1">
        <f t="shared" ref="Y33:Z37" si="46">+O33+Q33+S33+U33</f>
        <v>0</v>
      </c>
      <c r="Z33" s="1">
        <f t="shared" si="46"/>
        <v>0</v>
      </c>
      <c r="AA33" s="1">
        <f t="shared" ref="AA33:AA37" si="47">+Z33+Y33+W33</f>
        <v>5527578</v>
      </c>
      <c r="AB33" s="72">
        <f t="shared" ref="AB33:AB38" si="48">$E33-AA33</f>
        <v>0</v>
      </c>
      <c r="AD33" s="72">
        <v>302</v>
      </c>
      <c r="AE33" s="1">
        <f>VLOOKUP($AD33,AF!$B$39:$M$80,AE$9)*$O33</f>
        <v>0</v>
      </c>
      <c r="AF33" s="1">
        <f>VLOOKUP($AD33,AF!$B$39:$M$80,AF$9)*$P33</f>
        <v>0</v>
      </c>
      <c r="AG33" s="1">
        <f>VLOOKUP($AD33,AF!$B$39:$M$80,AG$9)*$Q33</f>
        <v>0</v>
      </c>
      <c r="AH33" s="1">
        <f>VLOOKUP($AD33,AF!$B$39:$M$80,AH$9)*$R33</f>
        <v>0</v>
      </c>
      <c r="AI33" s="1">
        <f>VLOOKUP($AD33,AF!$B$39:$M$80,AI$9)*$S33</f>
        <v>0</v>
      </c>
      <c r="AJ33" s="1">
        <f>VLOOKUP($AD33,AF!$B$39:$M$80,AJ$9)*$T33</f>
        <v>0</v>
      </c>
      <c r="AK33" s="1">
        <f>VLOOKUP($AD33,AF!$B$39:$M$80,AK$9)*$U33</f>
        <v>0</v>
      </c>
      <c r="AL33" s="1">
        <f>VLOOKUP($AD33,AF!$B$39:$M$80,AL$9)*$V33</f>
        <v>0</v>
      </c>
      <c r="AM33" s="1">
        <f t="shared" ref="AM33:AM37" si="49">E33-SUM(AE33:AL33)</f>
        <v>5527578</v>
      </c>
      <c r="AO33" s="1">
        <f t="shared" ref="AO33:AP37" si="50">+AE33+AG33+AI33+AK33</f>
        <v>0</v>
      </c>
      <c r="AP33" s="1">
        <f t="shared" si="50"/>
        <v>0</v>
      </c>
      <c r="AQ33" s="1">
        <f t="shared" ref="AQ33:AQ37" si="51">+AP33+AO33+AM33</f>
        <v>5527578</v>
      </c>
      <c r="AR33" s="72">
        <f t="shared" ref="AR33:AR38" si="52">$E33-AQ33</f>
        <v>0</v>
      </c>
    </row>
    <row r="34" spans="1:44" x14ac:dyDescent="0.45">
      <c r="A34" s="118">
        <f t="shared" si="5"/>
        <v>26</v>
      </c>
      <c r="B34" s="57">
        <v>547</v>
      </c>
      <c r="C34" s="34" t="s">
        <v>38</v>
      </c>
      <c r="D34" s="34" t="s">
        <v>40</v>
      </c>
      <c r="E34" s="25">
        <v>42883108</v>
      </c>
      <c r="F34" s="8">
        <v>101</v>
      </c>
      <c r="G34" s="1">
        <f>VLOOKUP($F34,AF!$B$39:$M$80,G$9)*$E34</f>
        <v>0</v>
      </c>
      <c r="H34" s="1">
        <f>VLOOKUP($F34,AF!$B$39:$M$80,H$9)*$E34</f>
        <v>0</v>
      </c>
      <c r="I34" s="1">
        <f>VLOOKUP($F34,AF!$B$39:$M$80,I$9)*$E34</f>
        <v>0</v>
      </c>
      <c r="J34" s="1">
        <f>VLOOKUP($F34,AF!$B$39:$M$80,J$9)*$E34</f>
        <v>0</v>
      </c>
      <c r="K34" s="1">
        <f t="shared" si="43"/>
        <v>42883108</v>
      </c>
      <c r="L34" s="72">
        <f t="shared" si="44"/>
        <v>0</v>
      </c>
      <c r="N34" s="8">
        <v>206</v>
      </c>
      <c r="O34" s="1">
        <f>VLOOKUP($N34,AF!$B$39:$M$80,O$9)*$G34</f>
        <v>0</v>
      </c>
      <c r="P34" s="1">
        <f>VLOOKUP($N34,AF!$B$39:$M$80,P$9)*$G34</f>
        <v>0</v>
      </c>
      <c r="Q34" s="1">
        <f>VLOOKUP($N34,AF!$B$39:$M$80,Q$9)*$H34</f>
        <v>0</v>
      </c>
      <c r="R34" s="1">
        <f>VLOOKUP($N34,AF!$B$39:$M$80,R$9)*$H34</f>
        <v>0</v>
      </c>
      <c r="S34" s="1">
        <f>VLOOKUP($N34,AF!$B$39:$M$80,S$9)*$I34</f>
        <v>0</v>
      </c>
      <c r="T34" s="1">
        <f>VLOOKUP($N34,AF!$B$39:$M$80,T$9)*$I34</f>
        <v>0</v>
      </c>
      <c r="U34" s="1">
        <f>VLOOKUP($N34,AF!$B$39:$M$80,U$9)*$J34</f>
        <v>0</v>
      </c>
      <c r="V34" s="1">
        <f>VLOOKUP($N34,AF!$B$39:$M$80,V$9)*$J34</f>
        <v>0</v>
      </c>
      <c r="W34" s="1">
        <f t="shared" si="45"/>
        <v>42883108</v>
      </c>
      <c r="Y34" s="1">
        <f t="shared" si="46"/>
        <v>0</v>
      </c>
      <c r="Z34" s="1">
        <f t="shared" si="46"/>
        <v>0</v>
      </c>
      <c r="AA34" s="1">
        <f t="shared" si="47"/>
        <v>42883108</v>
      </c>
      <c r="AB34" s="72">
        <f t="shared" si="48"/>
        <v>0</v>
      </c>
      <c r="AD34" s="72">
        <v>302</v>
      </c>
      <c r="AE34" s="1">
        <f>VLOOKUP($AD34,AF!$B$39:$M$80,AE$9)*$O34</f>
        <v>0</v>
      </c>
      <c r="AF34" s="1">
        <f>VLOOKUP($AD34,AF!$B$39:$M$80,AF$9)*$P34</f>
        <v>0</v>
      </c>
      <c r="AG34" s="1">
        <f>VLOOKUP($AD34,AF!$B$39:$M$80,AG$9)*$Q34</f>
        <v>0</v>
      </c>
      <c r="AH34" s="1">
        <f>VLOOKUP($AD34,AF!$B$39:$M$80,AH$9)*$R34</f>
        <v>0</v>
      </c>
      <c r="AI34" s="1">
        <f>VLOOKUP($AD34,AF!$B$39:$M$80,AI$9)*$S34</f>
        <v>0</v>
      </c>
      <c r="AJ34" s="1">
        <f>VLOOKUP($AD34,AF!$B$39:$M$80,AJ$9)*$T34</f>
        <v>0</v>
      </c>
      <c r="AK34" s="1">
        <f>VLOOKUP($AD34,AF!$B$39:$M$80,AK$9)*$U34</f>
        <v>0</v>
      </c>
      <c r="AL34" s="1">
        <f>VLOOKUP($AD34,AF!$B$39:$M$80,AL$9)*$V34</f>
        <v>0</v>
      </c>
      <c r="AM34" s="1">
        <f t="shared" si="49"/>
        <v>42883108</v>
      </c>
      <c r="AO34" s="1">
        <f t="shared" si="50"/>
        <v>0</v>
      </c>
      <c r="AP34" s="1">
        <f t="shared" si="50"/>
        <v>0</v>
      </c>
      <c r="AQ34" s="1">
        <f t="shared" si="51"/>
        <v>42883108</v>
      </c>
      <c r="AR34" s="72">
        <f t="shared" si="52"/>
        <v>0</v>
      </c>
    </row>
    <row r="35" spans="1:44" x14ac:dyDescent="0.45">
      <c r="A35" s="118">
        <f t="shared" si="5"/>
        <v>27</v>
      </c>
      <c r="B35" s="57">
        <v>548</v>
      </c>
      <c r="C35" s="34" t="s">
        <v>39</v>
      </c>
      <c r="D35" s="34" t="s">
        <v>41</v>
      </c>
      <c r="E35" s="28">
        <v>1497939</v>
      </c>
      <c r="F35" s="8">
        <v>101</v>
      </c>
      <c r="G35" s="1">
        <f>VLOOKUP($F35,AF!$B$39:$M$80,G$9)*$E35</f>
        <v>0</v>
      </c>
      <c r="H35" s="1">
        <f>VLOOKUP($F35,AF!$B$39:$M$80,H$9)*$E35</f>
        <v>0</v>
      </c>
      <c r="I35" s="1">
        <f>VLOOKUP($F35,AF!$B$39:$M$80,I$9)*$E35</f>
        <v>0</v>
      </c>
      <c r="J35" s="1">
        <f>VLOOKUP($F35,AF!$B$39:$M$80,J$9)*$E35</f>
        <v>0</v>
      </c>
      <c r="K35" s="1">
        <f t="shared" si="43"/>
        <v>1497939</v>
      </c>
      <c r="L35" s="72">
        <f t="shared" si="44"/>
        <v>0</v>
      </c>
      <c r="N35" s="8">
        <v>206</v>
      </c>
      <c r="O35" s="1">
        <f>VLOOKUP($N35,AF!$B$39:$M$80,O$9)*$G35</f>
        <v>0</v>
      </c>
      <c r="P35" s="1">
        <f>VLOOKUP($N35,AF!$B$39:$M$80,P$9)*$G35</f>
        <v>0</v>
      </c>
      <c r="Q35" s="1">
        <f>VLOOKUP($N35,AF!$B$39:$M$80,Q$9)*$H35</f>
        <v>0</v>
      </c>
      <c r="R35" s="1">
        <f>VLOOKUP($N35,AF!$B$39:$M$80,R$9)*$H35</f>
        <v>0</v>
      </c>
      <c r="S35" s="1">
        <f>VLOOKUP($N35,AF!$B$39:$M$80,S$9)*$I35</f>
        <v>0</v>
      </c>
      <c r="T35" s="1">
        <f>VLOOKUP($N35,AF!$B$39:$M$80,T$9)*$I35</f>
        <v>0</v>
      </c>
      <c r="U35" s="1">
        <f>VLOOKUP($N35,AF!$B$39:$M$80,U$9)*$J35</f>
        <v>0</v>
      </c>
      <c r="V35" s="1">
        <f>VLOOKUP($N35,AF!$B$39:$M$80,V$9)*$J35</f>
        <v>0</v>
      </c>
      <c r="W35" s="1">
        <f t="shared" si="45"/>
        <v>1497939</v>
      </c>
      <c r="Y35" s="1">
        <f t="shared" si="46"/>
        <v>0</v>
      </c>
      <c r="Z35" s="1">
        <f t="shared" si="46"/>
        <v>0</v>
      </c>
      <c r="AA35" s="1">
        <f t="shared" si="47"/>
        <v>1497939</v>
      </c>
      <c r="AB35" s="72">
        <f t="shared" si="48"/>
        <v>0</v>
      </c>
      <c r="AD35" s="72">
        <v>302</v>
      </c>
      <c r="AE35" s="1">
        <f>VLOOKUP($AD35,AF!$B$39:$M$80,AE$9)*$O35</f>
        <v>0</v>
      </c>
      <c r="AF35" s="1">
        <f>VLOOKUP($AD35,AF!$B$39:$M$80,AF$9)*$P35</f>
        <v>0</v>
      </c>
      <c r="AG35" s="1">
        <f>VLOOKUP($AD35,AF!$B$39:$M$80,AG$9)*$Q35</f>
        <v>0</v>
      </c>
      <c r="AH35" s="1">
        <f>VLOOKUP($AD35,AF!$B$39:$M$80,AH$9)*$R35</f>
        <v>0</v>
      </c>
      <c r="AI35" s="1">
        <f>VLOOKUP($AD35,AF!$B$39:$M$80,AI$9)*$S35</f>
        <v>0</v>
      </c>
      <c r="AJ35" s="1">
        <f>VLOOKUP($AD35,AF!$B$39:$M$80,AJ$9)*$T35</f>
        <v>0</v>
      </c>
      <c r="AK35" s="1">
        <f>VLOOKUP($AD35,AF!$B$39:$M$80,AK$9)*$U35</f>
        <v>0</v>
      </c>
      <c r="AL35" s="1">
        <f>VLOOKUP($AD35,AF!$B$39:$M$80,AL$9)*$V35</f>
        <v>0</v>
      </c>
      <c r="AM35" s="1">
        <f t="shared" si="49"/>
        <v>1497939</v>
      </c>
      <c r="AO35" s="1">
        <f t="shared" si="50"/>
        <v>0</v>
      </c>
      <c r="AP35" s="1">
        <f t="shared" si="50"/>
        <v>0</v>
      </c>
      <c r="AQ35" s="1">
        <f t="shared" si="51"/>
        <v>1497939</v>
      </c>
      <c r="AR35" s="72">
        <f t="shared" si="52"/>
        <v>0</v>
      </c>
    </row>
    <row r="36" spans="1:44" x14ac:dyDescent="0.45">
      <c r="A36" s="118">
        <f t="shared" si="5"/>
        <v>28</v>
      </c>
      <c r="B36" s="57">
        <v>549</v>
      </c>
      <c r="C36" s="34" t="s">
        <v>281</v>
      </c>
      <c r="D36" s="34" t="s">
        <v>282</v>
      </c>
      <c r="E36" s="25">
        <v>2557283</v>
      </c>
      <c r="F36" s="8">
        <v>101</v>
      </c>
      <c r="G36" s="1">
        <f>VLOOKUP($F36,AF!$B$39:$M$80,G$9)*$E36</f>
        <v>0</v>
      </c>
      <c r="H36" s="1">
        <f>VLOOKUP($F36,AF!$B$39:$M$80,H$9)*$E36</f>
        <v>0</v>
      </c>
      <c r="I36" s="1">
        <f>VLOOKUP($F36,AF!$B$39:$M$80,I$9)*$E36</f>
        <v>0</v>
      </c>
      <c r="J36" s="1">
        <f>VLOOKUP($F36,AF!$B$39:$M$80,J$9)*$E36</f>
        <v>0</v>
      </c>
      <c r="K36" s="1">
        <f t="shared" si="43"/>
        <v>2557283</v>
      </c>
      <c r="L36" s="72">
        <f t="shared" si="44"/>
        <v>0</v>
      </c>
      <c r="N36" s="8">
        <v>206</v>
      </c>
      <c r="O36" s="1">
        <f>VLOOKUP($N36,AF!$B$39:$M$80,O$9)*$G36</f>
        <v>0</v>
      </c>
      <c r="P36" s="1">
        <f>VLOOKUP($N36,AF!$B$39:$M$80,P$9)*$G36</f>
        <v>0</v>
      </c>
      <c r="Q36" s="1">
        <f>VLOOKUP($N36,AF!$B$39:$M$80,Q$9)*$H36</f>
        <v>0</v>
      </c>
      <c r="R36" s="1">
        <f>VLOOKUP($N36,AF!$B$39:$M$80,R$9)*$H36</f>
        <v>0</v>
      </c>
      <c r="S36" s="1">
        <f>VLOOKUP($N36,AF!$B$39:$M$80,S$9)*$I36</f>
        <v>0</v>
      </c>
      <c r="T36" s="1">
        <f>VLOOKUP($N36,AF!$B$39:$M$80,T$9)*$I36</f>
        <v>0</v>
      </c>
      <c r="U36" s="1">
        <f>VLOOKUP($N36,AF!$B$39:$M$80,U$9)*$J36</f>
        <v>0</v>
      </c>
      <c r="V36" s="1">
        <f>VLOOKUP($N36,AF!$B$39:$M$80,V$9)*$J36</f>
        <v>0</v>
      </c>
      <c r="W36" s="1">
        <f t="shared" si="45"/>
        <v>2557283</v>
      </c>
      <c r="Y36" s="1">
        <f t="shared" si="46"/>
        <v>0</v>
      </c>
      <c r="Z36" s="1">
        <f t="shared" si="46"/>
        <v>0</v>
      </c>
      <c r="AA36" s="1">
        <f t="shared" si="47"/>
        <v>2557283</v>
      </c>
      <c r="AB36" s="72">
        <f t="shared" si="48"/>
        <v>0</v>
      </c>
      <c r="AD36" s="72">
        <v>302</v>
      </c>
      <c r="AE36" s="1">
        <f>VLOOKUP($AD36,AF!$B$39:$M$80,AE$9)*$O36</f>
        <v>0</v>
      </c>
      <c r="AF36" s="1">
        <f>VLOOKUP($AD36,AF!$B$39:$M$80,AF$9)*$P36</f>
        <v>0</v>
      </c>
      <c r="AG36" s="1">
        <f>VLOOKUP($AD36,AF!$B$39:$M$80,AG$9)*$Q36</f>
        <v>0</v>
      </c>
      <c r="AH36" s="1">
        <f>VLOOKUP($AD36,AF!$B$39:$M$80,AH$9)*$R36</f>
        <v>0</v>
      </c>
      <c r="AI36" s="1">
        <f>VLOOKUP($AD36,AF!$B$39:$M$80,AI$9)*$S36</f>
        <v>0</v>
      </c>
      <c r="AJ36" s="1">
        <f>VLOOKUP($AD36,AF!$B$39:$M$80,AJ$9)*$T36</f>
        <v>0</v>
      </c>
      <c r="AK36" s="1">
        <f>VLOOKUP($AD36,AF!$B$39:$M$80,AK$9)*$U36</f>
        <v>0</v>
      </c>
      <c r="AL36" s="1">
        <f>VLOOKUP($AD36,AF!$B$39:$M$80,AL$9)*$V36</f>
        <v>0</v>
      </c>
      <c r="AM36" s="1">
        <f t="shared" si="49"/>
        <v>2557283</v>
      </c>
      <c r="AO36" s="1">
        <f t="shared" si="50"/>
        <v>0</v>
      </c>
      <c r="AP36" s="1">
        <f t="shared" si="50"/>
        <v>0</v>
      </c>
      <c r="AQ36" s="1">
        <f t="shared" si="51"/>
        <v>2557283</v>
      </c>
      <c r="AR36" s="72">
        <f t="shared" si="52"/>
        <v>0</v>
      </c>
    </row>
    <row r="37" spans="1:44" x14ac:dyDescent="0.45">
      <c r="A37" s="118">
        <f t="shared" si="5"/>
        <v>29</v>
      </c>
      <c r="B37" s="57">
        <v>550</v>
      </c>
      <c r="C37" s="34" t="s">
        <v>61</v>
      </c>
      <c r="D37" s="34" t="s">
        <v>283</v>
      </c>
      <c r="E37" s="25">
        <v>0</v>
      </c>
      <c r="F37" s="8">
        <v>101</v>
      </c>
      <c r="G37" s="1">
        <f>VLOOKUP($F37,AF!$B$39:$M$80,G$9)*$E37</f>
        <v>0</v>
      </c>
      <c r="H37" s="1">
        <f>VLOOKUP($F37,AF!$B$39:$M$80,H$9)*$E37</f>
        <v>0</v>
      </c>
      <c r="I37" s="1">
        <f>VLOOKUP($F37,AF!$B$39:$M$80,I$9)*$E37</f>
        <v>0</v>
      </c>
      <c r="J37" s="1">
        <f>VLOOKUP($F37,AF!$B$39:$M$80,J$9)*$E37</f>
        <v>0</v>
      </c>
      <c r="K37" s="1">
        <f t="shared" si="43"/>
        <v>0</v>
      </c>
      <c r="L37" s="72">
        <f t="shared" si="44"/>
        <v>0</v>
      </c>
      <c r="N37" s="8">
        <v>206</v>
      </c>
      <c r="O37" s="1">
        <f>VLOOKUP($N37,AF!$B$39:$M$80,O$9)*$G37</f>
        <v>0</v>
      </c>
      <c r="P37" s="1">
        <f>VLOOKUP($N37,AF!$B$39:$M$80,P$9)*$G37</f>
        <v>0</v>
      </c>
      <c r="Q37" s="1">
        <f>VLOOKUP($N37,AF!$B$39:$M$80,Q$9)*$H37</f>
        <v>0</v>
      </c>
      <c r="R37" s="1">
        <f>VLOOKUP($N37,AF!$B$39:$M$80,R$9)*$H37</f>
        <v>0</v>
      </c>
      <c r="S37" s="1">
        <f>VLOOKUP($N37,AF!$B$39:$M$80,S$9)*$I37</f>
        <v>0</v>
      </c>
      <c r="T37" s="1">
        <f>VLOOKUP($N37,AF!$B$39:$M$80,T$9)*$I37</f>
        <v>0</v>
      </c>
      <c r="U37" s="1">
        <f>VLOOKUP($N37,AF!$B$39:$M$80,U$9)*$J37</f>
        <v>0</v>
      </c>
      <c r="V37" s="1">
        <f>VLOOKUP($N37,AF!$B$39:$M$80,V$9)*$J37</f>
        <v>0</v>
      </c>
      <c r="W37" s="1">
        <f t="shared" si="45"/>
        <v>0</v>
      </c>
      <c r="Y37" s="1">
        <f t="shared" si="46"/>
        <v>0</v>
      </c>
      <c r="Z37" s="1">
        <f t="shared" si="46"/>
        <v>0</v>
      </c>
      <c r="AA37" s="1">
        <f t="shared" si="47"/>
        <v>0</v>
      </c>
      <c r="AB37" s="72">
        <f t="shared" si="48"/>
        <v>0</v>
      </c>
      <c r="AD37" s="72">
        <v>302</v>
      </c>
      <c r="AE37" s="1">
        <f>VLOOKUP($AD37,AF!$B$39:$M$80,AE$9)*$O37</f>
        <v>0</v>
      </c>
      <c r="AF37" s="1">
        <f>VLOOKUP($AD37,AF!$B$39:$M$80,AF$9)*$P37</f>
        <v>0</v>
      </c>
      <c r="AG37" s="1">
        <f>VLOOKUP($AD37,AF!$B$39:$M$80,AG$9)*$Q37</f>
        <v>0</v>
      </c>
      <c r="AH37" s="1">
        <f>VLOOKUP($AD37,AF!$B$39:$M$80,AH$9)*$R37</f>
        <v>0</v>
      </c>
      <c r="AI37" s="1">
        <f>VLOOKUP($AD37,AF!$B$39:$M$80,AI$9)*$S37</f>
        <v>0</v>
      </c>
      <c r="AJ37" s="1">
        <f>VLOOKUP($AD37,AF!$B$39:$M$80,AJ$9)*$T37</f>
        <v>0</v>
      </c>
      <c r="AK37" s="1">
        <f>VLOOKUP($AD37,AF!$B$39:$M$80,AK$9)*$U37</f>
        <v>0</v>
      </c>
      <c r="AL37" s="1">
        <f>VLOOKUP($AD37,AF!$B$39:$M$80,AL$9)*$V37</f>
        <v>0</v>
      </c>
      <c r="AM37" s="1">
        <f t="shared" si="49"/>
        <v>0</v>
      </c>
      <c r="AO37" s="1">
        <f t="shared" si="50"/>
        <v>0</v>
      </c>
      <c r="AP37" s="1">
        <f t="shared" si="50"/>
        <v>0</v>
      </c>
      <c r="AQ37" s="1">
        <f t="shared" si="51"/>
        <v>0</v>
      </c>
      <c r="AR37" s="72">
        <f t="shared" si="52"/>
        <v>0</v>
      </c>
    </row>
    <row r="38" spans="1:44" x14ac:dyDescent="0.45">
      <c r="A38" s="118">
        <f t="shared" si="5"/>
        <v>30</v>
      </c>
      <c r="B38" s="34"/>
      <c r="C38" s="34" t="s">
        <v>0</v>
      </c>
      <c r="D38" s="34"/>
      <c r="E38" s="33">
        <f>SUM(E33:E37)</f>
        <v>52465908</v>
      </c>
      <c r="F38" s="72"/>
      <c r="G38" s="33">
        <f t="shared" ref="G38:K38" si="53">SUM(G33:G37)</f>
        <v>0</v>
      </c>
      <c r="H38" s="33">
        <f t="shared" si="53"/>
        <v>0</v>
      </c>
      <c r="I38" s="33">
        <f t="shared" si="53"/>
        <v>0</v>
      </c>
      <c r="J38" s="33">
        <f t="shared" si="53"/>
        <v>0</v>
      </c>
      <c r="K38" s="33">
        <f t="shared" si="53"/>
        <v>52465908</v>
      </c>
      <c r="L38" s="72">
        <f t="shared" si="44"/>
        <v>0</v>
      </c>
      <c r="N38" s="72"/>
      <c r="O38" s="33">
        <f t="shared" ref="O38:W38" si="54">SUM(O33:O37)</f>
        <v>0</v>
      </c>
      <c r="P38" s="33">
        <f t="shared" si="54"/>
        <v>0</v>
      </c>
      <c r="Q38" s="33">
        <f t="shared" si="54"/>
        <v>0</v>
      </c>
      <c r="R38" s="33">
        <f t="shared" si="54"/>
        <v>0</v>
      </c>
      <c r="S38" s="33">
        <f t="shared" si="54"/>
        <v>0</v>
      </c>
      <c r="T38" s="33">
        <f t="shared" si="54"/>
        <v>0</v>
      </c>
      <c r="U38" s="33">
        <f t="shared" si="54"/>
        <v>0</v>
      </c>
      <c r="V38" s="33">
        <f t="shared" si="54"/>
        <v>0</v>
      </c>
      <c r="W38" s="33">
        <f t="shared" si="54"/>
        <v>52465908</v>
      </c>
      <c r="Y38" s="33">
        <f t="shared" ref="Y38:AA38" si="55">SUM(Y33:Y37)</f>
        <v>0</v>
      </c>
      <c r="Z38" s="33">
        <f t="shared" si="55"/>
        <v>0</v>
      </c>
      <c r="AA38" s="33">
        <f t="shared" si="55"/>
        <v>52465908</v>
      </c>
      <c r="AB38" s="72">
        <f t="shared" si="48"/>
        <v>0</v>
      </c>
      <c r="AD38" s="72"/>
      <c r="AE38" s="33">
        <f t="shared" ref="AE38:AM38" si="56">SUM(AE33:AE37)</f>
        <v>0</v>
      </c>
      <c r="AF38" s="33">
        <f t="shared" si="56"/>
        <v>0</v>
      </c>
      <c r="AG38" s="33">
        <f t="shared" si="56"/>
        <v>0</v>
      </c>
      <c r="AH38" s="33">
        <f t="shared" si="56"/>
        <v>0</v>
      </c>
      <c r="AI38" s="33">
        <f t="shared" si="56"/>
        <v>0</v>
      </c>
      <c r="AJ38" s="33">
        <f t="shared" si="56"/>
        <v>0</v>
      </c>
      <c r="AK38" s="33">
        <f t="shared" si="56"/>
        <v>0</v>
      </c>
      <c r="AL38" s="33">
        <f t="shared" si="56"/>
        <v>0</v>
      </c>
      <c r="AM38" s="33">
        <f t="shared" si="56"/>
        <v>52465908</v>
      </c>
      <c r="AO38" s="33">
        <f t="shared" ref="AO38:AQ38" si="57">SUM(AO33:AO37)</f>
        <v>0</v>
      </c>
      <c r="AP38" s="33">
        <f t="shared" si="57"/>
        <v>0</v>
      </c>
      <c r="AQ38" s="33">
        <f t="shared" si="57"/>
        <v>52465908</v>
      </c>
      <c r="AR38" s="72">
        <f t="shared" si="52"/>
        <v>0</v>
      </c>
    </row>
    <row r="39" spans="1:44" x14ac:dyDescent="0.45">
      <c r="A39" s="118">
        <f t="shared" si="5"/>
        <v>31</v>
      </c>
      <c r="B39" s="34"/>
      <c r="C39" s="34"/>
      <c r="D39" s="34"/>
      <c r="E39" s="31"/>
      <c r="F39" s="74"/>
      <c r="G39" s="88"/>
      <c r="H39" s="88"/>
      <c r="I39" s="88"/>
      <c r="J39" s="88"/>
      <c r="K39" s="88"/>
      <c r="L39" s="74"/>
      <c r="N39" s="74"/>
      <c r="O39" s="88"/>
      <c r="P39" s="88"/>
      <c r="Q39" s="88"/>
      <c r="R39" s="88"/>
      <c r="S39" s="88"/>
      <c r="T39" s="88"/>
      <c r="U39" s="88"/>
      <c r="V39" s="88"/>
      <c r="W39" s="88"/>
      <c r="Y39" s="88"/>
      <c r="Z39" s="88"/>
      <c r="AA39" s="88"/>
      <c r="AB39" s="74"/>
      <c r="AD39" s="74"/>
      <c r="AE39" s="88"/>
      <c r="AF39" s="88"/>
      <c r="AG39" s="88"/>
      <c r="AH39" s="88"/>
      <c r="AI39" s="88"/>
      <c r="AJ39" s="88"/>
      <c r="AK39" s="88"/>
      <c r="AL39" s="88"/>
      <c r="AM39" s="88"/>
      <c r="AO39" s="88"/>
      <c r="AP39" s="88"/>
      <c r="AQ39" s="88"/>
      <c r="AR39" s="74"/>
    </row>
    <row r="40" spans="1:44" x14ac:dyDescent="0.45">
      <c r="A40" s="118">
        <f t="shared" si="5"/>
        <v>32</v>
      </c>
      <c r="B40" s="34"/>
      <c r="C40" s="34"/>
      <c r="D40" s="34"/>
      <c r="E40" s="31"/>
      <c r="F40" s="74"/>
      <c r="G40" s="88"/>
      <c r="H40" s="88"/>
      <c r="I40" s="88"/>
      <c r="J40" s="88"/>
      <c r="K40" s="88"/>
      <c r="L40" s="74"/>
      <c r="N40" s="74"/>
      <c r="O40" s="88"/>
      <c r="P40" s="88"/>
      <c r="Q40" s="88"/>
      <c r="R40" s="88"/>
      <c r="S40" s="88"/>
      <c r="T40" s="88"/>
      <c r="U40" s="88"/>
      <c r="V40" s="88"/>
      <c r="W40" s="88"/>
      <c r="Y40" s="88"/>
      <c r="Z40" s="88"/>
      <c r="AA40" s="88"/>
      <c r="AB40" s="74"/>
      <c r="AD40" s="74"/>
      <c r="AE40" s="88"/>
      <c r="AF40" s="88"/>
      <c r="AG40" s="88"/>
      <c r="AH40" s="88"/>
      <c r="AI40" s="88"/>
      <c r="AJ40" s="88"/>
      <c r="AK40" s="88"/>
      <c r="AL40" s="88"/>
      <c r="AM40" s="88"/>
      <c r="AO40" s="88"/>
      <c r="AP40" s="88"/>
      <c r="AQ40" s="88"/>
      <c r="AR40" s="74"/>
    </row>
    <row r="41" spans="1:44" x14ac:dyDescent="0.45">
      <c r="A41" s="118">
        <f t="shared" si="5"/>
        <v>33</v>
      </c>
      <c r="B41" s="35" t="s">
        <v>284</v>
      </c>
      <c r="C41" s="35"/>
      <c r="D41" s="34"/>
      <c r="E41" s="31"/>
      <c r="F41" s="72"/>
      <c r="G41" s="31"/>
      <c r="H41" s="31"/>
      <c r="I41" s="31"/>
      <c r="J41" s="31"/>
      <c r="K41" s="31"/>
      <c r="L41" s="72"/>
      <c r="N41" s="72"/>
      <c r="O41" s="31"/>
      <c r="P41" s="31"/>
      <c r="Q41" s="31"/>
      <c r="R41" s="31"/>
      <c r="S41" s="31"/>
      <c r="T41" s="31"/>
      <c r="U41" s="31"/>
      <c r="V41" s="31"/>
      <c r="W41" s="31"/>
      <c r="Y41" s="31"/>
      <c r="Z41" s="31"/>
      <c r="AA41" s="31"/>
      <c r="AB41" s="72"/>
      <c r="AD41" s="72"/>
      <c r="AE41" s="31"/>
      <c r="AF41" s="31"/>
      <c r="AG41" s="31"/>
      <c r="AH41" s="31"/>
      <c r="AI41" s="31"/>
      <c r="AJ41" s="31"/>
      <c r="AK41" s="31"/>
      <c r="AL41" s="31"/>
      <c r="AM41" s="31"/>
      <c r="AO41" s="31"/>
      <c r="AP41" s="31"/>
      <c r="AQ41" s="31"/>
      <c r="AR41" s="72"/>
    </row>
    <row r="42" spans="1:44" x14ac:dyDescent="0.45">
      <c r="A42" s="118">
        <f t="shared" si="5"/>
        <v>34</v>
      </c>
      <c r="B42" s="57">
        <v>551</v>
      </c>
      <c r="C42" s="34" t="s">
        <v>269</v>
      </c>
      <c r="D42" s="34" t="s">
        <v>285</v>
      </c>
      <c r="E42" s="25">
        <v>0</v>
      </c>
      <c r="F42" s="8">
        <v>101</v>
      </c>
      <c r="G42" s="1">
        <f>VLOOKUP($F42,AF!$B$39:$M$80,G$9)*$E42</f>
        <v>0</v>
      </c>
      <c r="H42" s="1">
        <f>VLOOKUP($F42,AF!$B$39:$M$80,H$9)*$E42</f>
        <v>0</v>
      </c>
      <c r="I42" s="1">
        <f>VLOOKUP($F42,AF!$B$39:$M$80,I$9)*$E42</f>
        <v>0</v>
      </c>
      <c r="J42" s="1">
        <f>VLOOKUP($F42,AF!$B$39:$M$80,J$9)*$E42</f>
        <v>0</v>
      </c>
      <c r="K42" s="1">
        <f t="shared" ref="K42:K45" si="58">E42-SUM(G42:J42)</f>
        <v>0</v>
      </c>
      <c r="L42" s="72">
        <f>$E42-SUM(G42:K42)</f>
        <v>0</v>
      </c>
      <c r="N42" s="8">
        <v>206</v>
      </c>
      <c r="O42" s="1">
        <f>VLOOKUP($N42,AF!$B$39:$M$80,O$9)*$G42</f>
        <v>0</v>
      </c>
      <c r="P42" s="1">
        <f>VLOOKUP($N42,AF!$B$39:$M$80,P$9)*$G42</f>
        <v>0</v>
      </c>
      <c r="Q42" s="1">
        <f>VLOOKUP($N42,AF!$B$39:$M$80,Q$9)*$H42</f>
        <v>0</v>
      </c>
      <c r="R42" s="1">
        <f>VLOOKUP($N42,AF!$B$39:$M$80,R$9)*$H42</f>
        <v>0</v>
      </c>
      <c r="S42" s="1">
        <f>VLOOKUP($N42,AF!$B$39:$M$80,S$9)*$I42</f>
        <v>0</v>
      </c>
      <c r="T42" s="1">
        <f>VLOOKUP($N42,AF!$B$39:$M$80,T$9)*$I42</f>
        <v>0</v>
      </c>
      <c r="U42" s="1">
        <f>VLOOKUP($N42,AF!$B$39:$M$80,U$9)*$J42</f>
        <v>0</v>
      </c>
      <c r="V42" s="1">
        <f>VLOOKUP($N42,AF!$B$39:$M$80,V$9)*$J42</f>
        <v>0</v>
      </c>
      <c r="W42" s="1">
        <f t="shared" ref="W42:W45" si="59">E42-SUM(O42:V42)</f>
        <v>0</v>
      </c>
      <c r="Y42" s="1">
        <f t="shared" ref="Y42:Z45" si="60">+O42+Q42+S42+U42</f>
        <v>0</v>
      </c>
      <c r="Z42" s="1">
        <f t="shared" si="60"/>
        <v>0</v>
      </c>
      <c r="AA42" s="1">
        <f t="shared" ref="AA42:AA45" si="61">+Z42+Y42+W42</f>
        <v>0</v>
      </c>
      <c r="AB42" s="72">
        <f t="shared" ref="AB42:AB46" si="62">$E42-AA42</f>
        <v>0</v>
      </c>
      <c r="AD42" s="72">
        <v>302</v>
      </c>
      <c r="AE42" s="1">
        <f>VLOOKUP($AD42,AF!$B$39:$M$80,AE$9)*$O42</f>
        <v>0</v>
      </c>
      <c r="AF42" s="1">
        <f>VLOOKUP($AD42,AF!$B$39:$M$80,AF$9)*$P42</f>
        <v>0</v>
      </c>
      <c r="AG42" s="1">
        <f>VLOOKUP($AD42,AF!$B$39:$M$80,AG$9)*$Q42</f>
        <v>0</v>
      </c>
      <c r="AH42" s="1">
        <f>VLOOKUP($AD42,AF!$B$39:$M$80,AH$9)*$R42</f>
        <v>0</v>
      </c>
      <c r="AI42" s="1">
        <f>VLOOKUP($AD42,AF!$B$39:$M$80,AI$9)*$S42</f>
        <v>0</v>
      </c>
      <c r="AJ42" s="1">
        <f>VLOOKUP($AD42,AF!$B$39:$M$80,AJ$9)*$T42</f>
        <v>0</v>
      </c>
      <c r="AK42" s="1">
        <f>VLOOKUP($AD42,AF!$B$39:$M$80,AK$9)*$U42</f>
        <v>0</v>
      </c>
      <c r="AL42" s="1">
        <f>VLOOKUP($AD42,AF!$B$39:$M$80,AL$9)*$V42</f>
        <v>0</v>
      </c>
      <c r="AM42" s="1">
        <f t="shared" ref="AM42:AM45" si="63">E42-SUM(AE42:AL42)</f>
        <v>0</v>
      </c>
      <c r="AO42" s="1">
        <f t="shared" ref="AO42:AP45" si="64">+AE42+AG42+AI42+AK42</f>
        <v>0</v>
      </c>
      <c r="AP42" s="1">
        <f t="shared" si="64"/>
        <v>0</v>
      </c>
      <c r="AQ42" s="1">
        <f t="shared" ref="AQ42:AQ45" si="65">+AP42+AO42+AM42</f>
        <v>0</v>
      </c>
      <c r="AR42" s="72">
        <f t="shared" ref="AR42:AR46" si="66">$E42-AQ42</f>
        <v>0</v>
      </c>
    </row>
    <row r="43" spans="1:44" x14ac:dyDescent="0.45">
      <c r="A43" s="118">
        <f t="shared" si="5"/>
        <v>35</v>
      </c>
      <c r="B43" s="57">
        <v>552</v>
      </c>
      <c r="C43" s="34" t="s">
        <v>271</v>
      </c>
      <c r="D43" s="34" t="s">
        <v>286</v>
      </c>
      <c r="E43" s="25">
        <v>0</v>
      </c>
      <c r="F43" s="8">
        <v>101</v>
      </c>
      <c r="G43" s="1">
        <f>VLOOKUP($F43,AF!$B$39:$M$80,G$9)*$E43</f>
        <v>0</v>
      </c>
      <c r="H43" s="1">
        <f>VLOOKUP($F43,AF!$B$39:$M$80,H$9)*$E43</f>
        <v>0</v>
      </c>
      <c r="I43" s="1">
        <f>VLOOKUP($F43,AF!$B$39:$M$80,I$9)*$E43</f>
        <v>0</v>
      </c>
      <c r="J43" s="1">
        <f>VLOOKUP($F43,AF!$B$39:$M$80,J$9)*$E43</f>
        <v>0</v>
      </c>
      <c r="K43" s="1">
        <f t="shared" si="58"/>
        <v>0</v>
      </c>
      <c r="L43" s="72">
        <f>$E43-SUM(G43:K43)</f>
        <v>0</v>
      </c>
      <c r="N43" s="8">
        <v>206</v>
      </c>
      <c r="O43" s="1">
        <f>VLOOKUP($N43,AF!$B$39:$M$80,O$9)*$G43</f>
        <v>0</v>
      </c>
      <c r="P43" s="1">
        <f>VLOOKUP($N43,AF!$B$39:$M$80,P$9)*$G43</f>
        <v>0</v>
      </c>
      <c r="Q43" s="1">
        <f>VLOOKUP($N43,AF!$B$39:$M$80,Q$9)*$H43</f>
        <v>0</v>
      </c>
      <c r="R43" s="1">
        <f>VLOOKUP($N43,AF!$B$39:$M$80,R$9)*$H43</f>
        <v>0</v>
      </c>
      <c r="S43" s="1">
        <f>VLOOKUP($N43,AF!$B$39:$M$80,S$9)*$I43</f>
        <v>0</v>
      </c>
      <c r="T43" s="1">
        <f>VLOOKUP($N43,AF!$B$39:$M$80,T$9)*$I43</f>
        <v>0</v>
      </c>
      <c r="U43" s="1">
        <f>VLOOKUP($N43,AF!$B$39:$M$80,U$9)*$J43</f>
        <v>0</v>
      </c>
      <c r="V43" s="1">
        <f>VLOOKUP($N43,AF!$B$39:$M$80,V$9)*$J43</f>
        <v>0</v>
      </c>
      <c r="W43" s="1">
        <f t="shared" si="59"/>
        <v>0</v>
      </c>
      <c r="Y43" s="1">
        <f t="shared" si="60"/>
        <v>0</v>
      </c>
      <c r="Z43" s="1">
        <f t="shared" si="60"/>
        <v>0</v>
      </c>
      <c r="AA43" s="1">
        <f t="shared" si="61"/>
        <v>0</v>
      </c>
      <c r="AB43" s="72">
        <f t="shared" si="62"/>
        <v>0</v>
      </c>
      <c r="AD43" s="72">
        <v>302</v>
      </c>
      <c r="AE43" s="1">
        <f>VLOOKUP($AD43,AF!$B$39:$M$80,AE$9)*$O43</f>
        <v>0</v>
      </c>
      <c r="AF43" s="1">
        <f>VLOOKUP($AD43,AF!$B$39:$M$80,AF$9)*$P43</f>
        <v>0</v>
      </c>
      <c r="AG43" s="1">
        <f>VLOOKUP($AD43,AF!$B$39:$M$80,AG$9)*$Q43</f>
        <v>0</v>
      </c>
      <c r="AH43" s="1">
        <f>VLOOKUP($AD43,AF!$B$39:$M$80,AH$9)*$R43</f>
        <v>0</v>
      </c>
      <c r="AI43" s="1">
        <f>VLOOKUP($AD43,AF!$B$39:$M$80,AI$9)*$S43</f>
        <v>0</v>
      </c>
      <c r="AJ43" s="1">
        <f>VLOOKUP($AD43,AF!$B$39:$M$80,AJ$9)*$T43</f>
        <v>0</v>
      </c>
      <c r="AK43" s="1">
        <f>VLOOKUP($AD43,AF!$B$39:$M$80,AK$9)*$U43</f>
        <v>0</v>
      </c>
      <c r="AL43" s="1">
        <f>VLOOKUP($AD43,AF!$B$39:$M$80,AL$9)*$V43</f>
        <v>0</v>
      </c>
      <c r="AM43" s="1">
        <f t="shared" si="63"/>
        <v>0</v>
      </c>
      <c r="AO43" s="1">
        <f t="shared" si="64"/>
        <v>0</v>
      </c>
      <c r="AP43" s="1">
        <f t="shared" si="64"/>
        <v>0</v>
      </c>
      <c r="AQ43" s="1">
        <f t="shared" si="65"/>
        <v>0</v>
      </c>
      <c r="AR43" s="72">
        <f t="shared" si="66"/>
        <v>0</v>
      </c>
    </row>
    <row r="44" spans="1:44" x14ac:dyDescent="0.45">
      <c r="A44" s="118">
        <f t="shared" si="5"/>
        <v>36</v>
      </c>
      <c r="B44" s="57">
        <v>553</v>
      </c>
      <c r="C44" s="34" t="s">
        <v>287</v>
      </c>
      <c r="D44" s="34" t="s">
        <v>288</v>
      </c>
      <c r="E44" s="25">
        <v>5078674</v>
      </c>
      <c r="F44" s="8">
        <v>101</v>
      </c>
      <c r="G44" s="1">
        <f>VLOOKUP($F44,AF!$B$39:$M$80,G$9)*$E44</f>
        <v>0</v>
      </c>
      <c r="H44" s="1">
        <f>VLOOKUP($F44,AF!$B$39:$M$80,H$9)*$E44</f>
        <v>0</v>
      </c>
      <c r="I44" s="1">
        <f>VLOOKUP($F44,AF!$B$39:$M$80,I$9)*$E44</f>
        <v>0</v>
      </c>
      <c r="J44" s="1">
        <f>VLOOKUP($F44,AF!$B$39:$M$80,J$9)*$E44</f>
        <v>0</v>
      </c>
      <c r="K44" s="1">
        <f t="shared" si="58"/>
        <v>5078674</v>
      </c>
      <c r="L44" s="72">
        <f>$E44-SUM(G44:K44)</f>
        <v>0</v>
      </c>
      <c r="N44" s="8">
        <v>206</v>
      </c>
      <c r="O44" s="1">
        <f>VLOOKUP($N44,AF!$B$39:$M$80,O$9)*$G44</f>
        <v>0</v>
      </c>
      <c r="P44" s="1">
        <f>VLOOKUP($N44,AF!$B$39:$M$80,P$9)*$G44</f>
        <v>0</v>
      </c>
      <c r="Q44" s="1">
        <f>VLOOKUP($N44,AF!$B$39:$M$80,Q$9)*$H44</f>
        <v>0</v>
      </c>
      <c r="R44" s="1">
        <f>VLOOKUP($N44,AF!$B$39:$M$80,R$9)*$H44</f>
        <v>0</v>
      </c>
      <c r="S44" s="1">
        <f>VLOOKUP($N44,AF!$B$39:$M$80,S$9)*$I44</f>
        <v>0</v>
      </c>
      <c r="T44" s="1">
        <f>VLOOKUP($N44,AF!$B$39:$M$80,T$9)*$I44</f>
        <v>0</v>
      </c>
      <c r="U44" s="1">
        <f>VLOOKUP($N44,AF!$B$39:$M$80,U$9)*$J44</f>
        <v>0</v>
      </c>
      <c r="V44" s="1">
        <f>VLOOKUP($N44,AF!$B$39:$M$80,V$9)*$J44</f>
        <v>0</v>
      </c>
      <c r="W44" s="1">
        <f t="shared" si="59"/>
        <v>5078674</v>
      </c>
      <c r="Y44" s="1">
        <f t="shared" si="60"/>
        <v>0</v>
      </c>
      <c r="Z44" s="1">
        <f t="shared" si="60"/>
        <v>0</v>
      </c>
      <c r="AA44" s="1">
        <f t="shared" si="61"/>
        <v>5078674</v>
      </c>
      <c r="AB44" s="72">
        <f t="shared" si="62"/>
        <v>0</v>
      </c>
      <c r="AD44" s="72">
        <v>302</v>
      </c>
      <c r="AE44" s="1">
        <f>VLOOKUP($AD44,AF!$B$39:$M$80,AE$9)*$O44</f>
        <v>0</v>
      </c>
      <c r="AF44" s="1">
        <f>VLOOKUP($AD44,AF!$B$39:$M$80,AF$9)*$P44</f>
        <v>0</v>
      </c>
      <c r="AG44" s="1">
        <f>VLOOKUP($AD44,AF!$B$39:$M$80,AG$9)*$Q44</f>
        <v>0</v>
      </c>
      <c r="AH44" s="1">
        <f>VLOOKUP($AD44,AF!$B$39:$M$80,AH$9)*$R44</f>
        <v>0</v>
      </c>
      <c r="AI44" s="1">
        <f>VLOOKUP($AD44,AF!$B$39:$M$80,AI$9)*$S44</f>
        <v>0</v>
      </c>
      <c r="AJ44" s="1">
        <f>VLOOKUP($AD44,AF!$B$39:$M$80,AJ$9)*$T44</f>
        <v>0</v>
      </c>
      <c r="AK44" s="1">
        <f>VLOOKUP($AD44,AF!$B$39:$M$80,AK$9)*$U44</f>
        <v>0</v>
      </c>
      <c r="AL44" s="1">
        <f>VLOOKUP($AD44,AF!$B$39:$M$80,AL$9)*$V44</f>
        <v>0</v>
      </c>
      <c r="AM44" s="1">
        <f t="shared" si="63"/>
        <v>5078674</v>
      </c>
      <c r="AO44" s="1">
        <f t="shared" si="64"/>
        <v>0</v>
      </c>
      <c r="AP44" s="1">
        <f t="shared" si="64"/>
        <v>0</v>
      </c>
      <c r="AQ44" s="1">
        <f t="shared" si="65"/>
        <v>5078674</v>
      </c>
      <c r="AR44" s="72">
        <f t="shared" si="66"/>
        <v>0</v>
      </c>
    </row>
    <row r="45" spans="1:44" x14ac:dyDescent="0.45">
      <c r="A45" s="118">
        <f t="shared" si="5"/>
        <v>37</v>
      </c>
      <c r="B45" s="57">
        <v>554</v>
      </c>
      <c r="C45" s="34" t="s">
        <v>289</v>
      </c>
      <c r="D45" s="34" t="s">
        <v>290</v>
      </c>
      <c r="E45" s="25">
        <v>0</v>
      </c>
      <c r="F45" s="8">
        <v>101</v>
      </c>
      <c r="G45" s="1">
        <f>VLOOKUP($F45,AF!$B$39:$M$80,G$9)*$E45</f>
        <v>0</v>
      </c>
      <c r="H45" s="1">
        <f>VLOOKUP($F45,AF!$B$39:$M$80,H$9)*$E45</f>
        <v>0</v>
      </c>
      <c r="I45" s="1">
        <f>VLOOKUP($F45,AF!$B$39:$M$80,I$9)*$E45</f>
        <v>0</v>
      </c>
      <c r="J45" s="1">
        <f>VLOOKUP($F45,AF!$B$39:$M$80,J$9)*$E45</f>
        <v>0</v>
      </c>
      <c r="K45" s="1">
        <f t="shared" si="58"/>
        <v>0</v>
      </c>
      <c r="L45" s="72">
        <f>$E45-SUM(G45:K45)</f>
        <v>0</v>
      </c>
      <c r="N45" s="8">
        <v>206</v>
      </c>
      <c r="O45" s="1">
        <f>VLOOKUP($N45,AF!$B$39:$M$80,O$9)*$G45</f>
        <v>0</v>
      </c>
      <c r="P45" s="1">
        <f>VLOOKUP($N45,AF!$B$39:$M$80,P$9)*$G45</f>
        <v>0</v>
      </c>
      <c r="Q45" s="1">
        <f>VLOOKUP($N45,AF!$B$39:$M$80,Q$9)*$H45</f>
        <v>0</v>
      </c>
      <c r="R45" s="1">
        <f>VLOOKUP($N45,AF!$B$39:$M$80,R$9)*$H45</f>
        <v>0</v>
      </c>
      <c r="S45" s="1">
        <f>VLOOKUP($N45,AF!$B$39:$M$80,S$9)*$I45</f>
        <v>0</v>
      </c>
      <c r="T45" s="1">
        <f>VLOOKUP($N45,AF!$B$39:$M$80,T$9)*$I45</f>
        <v>0</v>
      </c>
      <c r="U45" s="1">
        <f>VLOOKUP($N45,AF!$B$39:$M$80,U$9)*$J45</f>
        <v>0</v>
      </c>
      <c r="V45" s="1">
        <f>VLOOKUP($N45,AF!$B$39:$M$80,V$9)*$J45</f>
        <v>0</v>
      </c>
      <c r="W45" s="1">
        <f t="shared" si="59"/>
        <v>0</v>
      </c>
      <c r="Y45" s="1">
        <f t="shared" si="60"/>
        <v>0</v>
      </c>
      <c r="Z45" s="1">
        <f t="shared" si="60"/>
        <v>0</v>
      </c>
      <c r="AA45" s="1">
        <f t="shared" si="61"/>
        <v>0</v>
      </c>
      <c r="AB45" s="72">
        <f t="shared" si="62"/>
        <v>0</v>
      </c>
      <c r="AD45" s="72">
        <v>302</v>
      </c>
      <c r="AE45" s="1">
        <f>VLOOKUP($AD45,AF!$B$39:$M$80,AE$9)*$O45</f>
        <v>0</v>
      </c>
      <c r="AF45" s="1">
        <f>VLOOKUP($AD45,AF!$B$39:$M$80,AF$9)*$P45</f>
        <v>0</v>
      </c>
      <c r="AG45" s="1">
        <f>VLOOKUP($AD45,AF!$B$39:$M$80,AG$9)*$Q45</f>
        <v>0</v>
      </c>
      <c r="AH45" s="1">
        <f>VLOOKUP($AD45,AF!$B$39:$M$80,AH$9)*$R45</f>
        <v>0</v>
      </c>
      <c r="AI45" s="1">
        <f>VLOOKUP($AD45,AF!$B$39:$M$80,AI$9)*$S45</f>
        <v>0</v>
      </c>
      <c r="AJ45" s="1">
        <f>VLOOKUP($AD45,AF!$B$39:$M$80,AJ$9)*$T45</f>
        <v>0</v>
      </c>
      <c r="AK45" s="1">
        <f>VLOOKUP($AD45,AF!$B$39:$M$80,AK$9)*$U45</f>
        <v>0</v>
      </c>
      <c r="AL45" s="1">
        <f>VLOOKUP($AD45,AF!$B$39:$M$80,AL$9)*$V45</f>
        <v>0</v>
      </c>
      <c r="AM45" s="1">
        <f t="shared" si="63"/>
        <v>0</v>
      </c>
      <c r="AO45" s="1">
        <f t="shared" si="64"/>
        <v>0</v>
      </c>
      <c r="AP45" s="1">
        <f t="shared" si="64"/>
        <v>0</v>
      </c>
      <c r="AQ45" s="1">
        <f t="shared" si="65"/>
        <v>0</v>
      </c>
      <c r="AR45" s="72">
        <f t="shared" si="66"/>
        <v>0</v>
      </c>
    </row>
    <row r="46" spans="1:44" x14ac:dyDescent="0.45">
      <c r="A46" s="118">
        <f t="shared" si="5"/>
        <v>38</v>
      </c>
      <c r="B46" s="34"/>
      <c r="C46" s="34" t="s">
        <v>0</v>
      </c>
      <c r="D46" s="34"/>
      <c r="E46" s="33">
        <f>SUM(E42:E45)</f>
        <v>5078674</v>
      </c>
      <c r="F46" s="72"/>
      <c r="G46" s="33">
        <f t="shared" ref="G46:K46" si="67">SUM(G42:G45)</f>
        <v>0</v>
      </c>
      <c r="H46" s="33">
        <f t="shared" si="67"/>
        <v>0</v>
      </c>
      <c r="I46" s="33">
        <f t="shared" si="67"/>
        <v>0</v>
      </c>
      <c r="J46" s="33">
        <f t="shared" si="67"/>
        <v>0</v>
      </c>
      <c r="K46" s="33">
        <f t="shared" si="67"/>
        <v>5078674</v>
      </c>
      <c r="L46" s="72">
        <f>$E46-SUM(G46:K46)</f>
        <v>0</v>
      </c>
      <c r="N46" s="72"/>
      <c r="O46" s="33">
        <f t="shared" ref="O46:W46" si="68">SUM(O42:O45)</f>
        <v>0</v>
      </c>
      <c r="P46" s="33">
        <f t="shared" si="68"/>
        <v>0</v>
      </c>
      <c r="Q46" s="33">
        <f t="shared" si="68"/>
        <v>0</v>
      </c>
      <c r="R46" s="33">
        <f t="shared" si="68"/>
        <v>0</v>
      </c>
      <c r="S46" s="33">
        <f t="shared" si="68"/>
        <v>0</v>
      </c>
      <c r="T46" s="33">
        <f t="shared" si="68"/>
        <v>0</v>
      </c>
      <c r="U46" s="33">
        <f t="shared" si="68"/>
        <v>0</v>
      </c>
      <c r="V46" s="33">
        <f t="shared" si="68"/>
        <v>0</v>
      </c>
      <c r="W46" s="33">
        <f t="shared" si="68"/>
        <v>5078674</v>
      </c>
      <c r="Y46" s="33">
        <f t="shared" ref="Y46:AA46" si="69">SUM(Y42:Y45)</f>
        <v>0</v>
      </c>
      <c r="Z46" s="33">
        <f t="shared" si="69"/>
        <v>0</v>
      </c>
      <c r="AA46" s="33">
        <f t="shared" si="69"/>
        <v>5078674</v>
      </c>
      <c r="AB46" s="72">
        <f t="shared" si="62"/>
        <v>0</v>
      </c>
      <c r="AD46" s="72"/>
      <c r="AE46" s="33">
        <f t="shared" ref="AE46:AM46" si="70">SUM(AE42:AE45)</f>
        <v>0</v>
      </c>
      <c r="AF46" s="33">
        <f t="shared" si="70"/>
        <v>0</v>
      </c>
      <c r="AG46" s="33">
        <f t="shared" si="70"/>
        <v>0</v>
      </c>
      <c r="AH46" s="33">
        <f t="shared" si="70"/>
        <v>0</v>
      </c>
      <c r="AI46" s="33">
        <f t="shared" si="70"/>
        <v>0</v>
      </c>
      <c r="AJ46" s="33">
        <f t="shared" si="70"/>
        <v>0</v>
      </c>
      <c r="AK46" s="33">
        <f t="shared" si="70"/>
        <v>0</v>
      </c>
      <c r="AL46" s="33">
        <f t="shared" si="70"/>
        <v>0</v>
      </c>
      <c r="AM46" s="33">
        <f t="shared" si="70"/>
        <v>5078674</v>
      </c>
      <c r="AO46" s="33">
        <f t="shared" ref="AO46" si="71">SUM(AO42:AO45)</f>
        <v>0</v>
      </c>
      <c r="AP46" s="33">
        <f t="shared" ref="AP46" si="72">SUM(AP42:AP45)</f>
        <v>0</v>
      </c>
      <c r="AQ46" s="33">
        <f t="shared" ref="AQ46" si="73">SUM(AQ42:AQ45)</f>
        <v>5078674</v>
      </c>
      <c r="AR46" s="72">
        <f t="shared" si="66"/>
        <v>0</v>
      </c>
    </row>
    <row r="47" spans="1:44" x14ac:dyDescent="0.45">
      <c r="A47" s="118">
        <f t="shared" si="5"/>
        <v>39</v>
      </c>
      <c r="B47" s="34"/>
      <c r="C47" s="34"/>
      <c r="D47" s="34"/>
      <c r="E47" s="31"/>
      <c r="F47" s="72"/>
      <c r="G47" s="31"/>
      <c r="H47" s="31"/>
      <c r="I47" s="31"/>
      <c r="J47" s="31"/>
      <c r="K47" s="31"/>
      <c r="L47" s="72"/>
      <c r="N47" s="72"/>
      <c r="O47" s="31"/>
      <c r="P47" s="31"/>
      <c r="Q47" s="31"/>
      <c r="R47" s="31"/>
      <c r="S47" s="31"/>
      <c r="T47" s="31"/>
      <c r="U47" s="31"/>
      <c r="V47" s="31"/>
      <c r="W47" s="31"/>
      <c r="Y47" s="31"/>
      <c r="Z47" s="31"/>
      <c r="AA47" s="31"/>
      <c r="AB47" s="72"/>
      <c r="AD47" s="72"/>
      <c r="AE47" s="31"/>
      <c r="AF47" s="31"/>
      <c r="AG47" s="31"/>
      <c r="AH47" s="31"/>
      <c r="AI47" s="31"/>
      <c r="AJ47" s="31"/>
      <c r="AK47" s="31"/>
      <c r="AL47" s="31"/>
      <c r="AM47" s="31"/>
      <c r="AO47" s="31"/>
      <c r="AP47" s="31"/>
      <c r="AQ47" s="31"/>
      <c r="AR47" s="72"/>
    </row>
    <row r="48" spans="1:44" x14ac:dyDescent="0.45">
      <c r="A48" s="118">
        <f t="shared" si="5"/>
        <v>40</v>
      </c>
      <c r="B48" s="34"/>
      <c r="C48" s="34"/>
      <c r="D48" s="34"/>
      <c r="E48" s="31"/>
      <c r="F48" s="72"/>
      <c r="G48" s="31"/>
      <c r="H48" s="31"/>
      <c r="I48" s="31"/>
      <c r="J48" s="31"/>
      <c r="K48" s="31"/>
      <c r="L48" s="72"/>
      <c r="N48" s="72"/>
      <c r="O48" s="31"/>
      <c r="P48" s="31"/>
      <c r="Q48" s="31"/>
      <c r="R48" s="31"/>
      <c r="S48" s="31"/>
      <c r="T48" s="31"/>
      <c r="U48" s="31"/>
      <c r="V48" s="31"/>
      <c r="W48" s="31"/>
      <c r="Y48" s="31"/>
      <c r="Z48" s="31"/>
      <c r="AA48" s="31"/>
      <c r="AB48" s="72"/>
      <c r="AD48" s="72"/>
      <c r="AE48" s="31"/>
      <c r="AF48" s="31"/>
      <c r="AG48" s="31"/>
      <c r="AH48" s="31"/>
      <c r="AI48" s="31"/>
      <c r="AJ48" s="31"/>
      <c r="AK48" s="31"/>
      <c r="AL48" s="31"/>
      <c r="AM48" s="31"/>
      <c r="AO48" s="31"/>
      <c r="AP48" s="31"/>
      <c r="AQ48" s="31"/>
      <c r="AR48" s="72"/>
    </row>
    <row r="49" spans="1:44" ht="14.65" thickBot="1" x14ac:dyDescent="0.5">
      <c r="A49" s="118">
        <f t="shared" si="5"/>
        <v>41</v>
      </c>
      <c r="B49" s="34" t="s">
        <v>392</v>
      </c>
      <c r="C49" s="37"/>
      <c r="D49" s="34"/>
      <c r="E49" s="62">
        <f>+E38+E46</f>
        <v>57544582</v>
      </c>
      <c r="F49" s="29"/>
      <c r="G49" s="62">
        <f t="shared" ref="G49:K49" si="74">+G38+G46</f>
        <v>0</v>
      </c>
      <c r="H49" s="62">
        <f t="shared" si="74"/>
        <v>0</v>
      </c>
      <c r="I49" s="62">
        <f t="shared" si="74"/>
        <v>0</v>
      </c>
      <c r="J49" s="62">
        <f t="shared" si="74"/>
        <v>0</v>
      </c>
      <c r="K49" s="62">
        <f t="shared" si="74"/>
        <v>57544582</v>
      </c>
      <c r="L49" s="72">
        <f>$E49-SUM(G49:K49)</f>
        <v>0</v>
      </c>
      <c r="N49" s="29"/>
      <c r="O49" s="62">
        <f t="shared" ref="O49:W49" si="75">+O38+O46</f>
        <v>0</v>
      </c>
      <c r="P49" s="62">
        <f t="shared" si="75"/>
        <v>0</v>
      </c>
      <c r="Q49" s="62">
        <f t="shared" si="75"/>
        <v>0</v>
      </c>
      <c r="R49" s="62">
        <f t="shared" si="75"/>
        <v>0</v>
      </c>
      <c r="S49" s="62">
        <f t="shared" si="75"/>
        <v>0</v>
      </c>
      <c r="T49" s="62">
        <f t="shared" si="75"/>
        <v>0</v>
      </c>
      <c r="U49" s="62">
        <f t="shared" si="75"/>
        <v>0</v>
      </c>
      <c r="V49" s="62">
        <f t="shared" si="75"/>
        <v>0</v>
      </c>
      <c r="W49" s="62">
        <f t="shared" si="75"/>
        <v>57544582</v>
      </c>
      <c r="Y49" s="62">
        <f t="shared" ref="Y49:AA49" si="76">+Y38+Y46</f>
        <v>0</v>
      </c>
      <c r="Z49" s="62">
        <f t="shared" si="76"/>
        <v>0</v>
      </c>
      <c r="AA49" s="62">
        <f t="shared" si="76"/>
        <v>57544582</v>
      </c>
      <c r="AB49" s="72">
        <f>$E49-AA49</f>
        <v>0</v>
      </c>
      <c r="AD49" s="29"/>
      <c r="AE49" s="62">
        <f t="shared" ref="AE49:AM49" si="77">+AE38+AE46</f>
        <v>0</v>
      </c>
      <c r="AF49" s="62">
        <f t="shared" si="77"/>
        <v>0</v>
      </c>
      <c r="AG49" s="62">
        <f t="shared" si="77"/>
        <v>0</v>
      </c>
      <c r="AH49" s="62">
        <f t="shared" si="77"/>
        <v>0</v>
      </c>
      <c r="AI49" s="62">
        <f t="shared" si="77"/>
        <v>0</v>
      </c>
      <c r="AJ49" s="62">
        <f t="shared" si="77"/>
        <v>0</v>
      </c>
      <c r="AK49" s="62">
        <f t="shared" si="77"/>
        <v>0</v>
      </c>
      <c r="AL49" s="62">
        <f t="shared" si="77"/>
        <v>0</v>
      </c>
      <c r="AM49" s="62">
        <f t="shared" si="77"/>
        <v>57544582</v>
      </c>
      <c r="AO49" s="62">
        <f t="shared" ref="AO49:AQ49" si="78">+AO38+AO46</f>
        <v>0</v>
      </c>
      <c r="AP49" s="62">
        <f t="shared" si="78"/>
        <v>0</v>
      </c>
      <c r="AQ49" s="62">
        <f t="shared" si="78"/>
        <v>57544582</v>
      </c>
      <c r="AR49" s="72">
        <f>$E49-AQ49</f>
        <v>0</v>
      </c>
    </row>
    <row r="50" spans="1:44" ht="14.65" thickTop="1" x14ac:dyDescent="0.45">
      <c r="A50" s="118">
        <f t="shared" si="5"/>
        <v>42</v>
      </c>
      <c r="B50" s="34"/>
      <c r="C50" s="37"/>
      <c r="D50" s="34"/>
      <c r="E50" s="29"/>
      <c r="F50" s="29"/>
      <c r="G50" s="29"/>
      <c r="H50" s="29"/>
      <c r="I50" s="29"/>
      <c r="J50" s="29"/>
      <c r="K50" s="29"/>
      <c r="L50" s="29"/>
      <c r="N50" s="29"/>
      <c r="O50" s="29"/>
      <c r="P50" s="29"/>
      <c r="Q50" s="29"/>
      <c r="R50" s="29"/>
      <c r="S50" s="29"/>
      <c r="T50" s="29"/>
      <c r="U50" s="29"/>
      <c r="V50" s="29"/>
      <c r="W50" s="29"/>
      <c r="Y50" s="29"/>
      <c r="Z50" s="29"/>
      <c r="AA50" s="29"/>
      <c r="AB50" s="29"/>
      <c r="AD50" s="29"/>
      <c r="AE50" s="29"/>
      <c r="AF50" s="29"/>
      <c r="AG50" s="29"/>
      <c r="AH50" s="29"/>
      <c r="AI50" s="29"/>
      <c r="AJ50" s="29"/>
      <c r="AK50" s="29"/>
      <c r="AL50" s="29"/>
      <c r="AM50" s="29"/>
      <c r="AO50" s="29"/>
      <c r="AP50" s="29"/>
      <c r="AQ50" s="29"/>
      <c r="AR50" s="29"/>
    </row>
    <row r="51" spans="1:44" x14ac:dyDescent="0.45">
      <c r="A51" s="118">
        <f t="shared" si="5"/>
        <v>43</v>
      </c>
      <c r="B51" s="34"/>
      <c r="C51" s="34"/>
      <c r="D51" s="34"/>
      <c r="E51" s="31"/>
      <c r="F51" s="74"/>
      <c r="G51" s="88"/>
      <c r="H51" s="88"/>
      <c r="I51" s="88"/>
      <c r="J51" s="88"/>
      <c r="K51" s="88"/>
      <c r="L51" s="74"/>
      <c r="N51" s="74"/>
      <c r="O51" s="88"/>
      <c r="P51" s="88"/>
      <c r="Q51" s="88"/>
      <c r="R51" s="88"/>
      <c r="S51" s="88"/>
      <c r="T51" s="88"/>
      <c r="U51" s="88"/>
      <c r="V51" s="88"/>
      <c r="W51" s="88"/>
      <c r="Y51" s="88"/>
      <c r="Z51" s="88"/>
      <c r="AA51" s="88"/>
      <c r="AB51" s="74"/>
      <c r="AD51" s="74"/>
      <c r="AE51" s="88"/>
      <c r="AF51" s="88"/>
      <c r="AG51" s="88"/>
      <c r="AH51" s="88"/>
      <c r="AI51" s="88"/>
      <c r="AJ51" s="88"/>
      <c r="AK51" s="88"/>
      <c r="AL51" s="88"/>
      <c r="AM51" s="88"/>
      <c r="AO51" s="88"/>
      <c r="AP51" s="88"/>
      <c r="AQ51" s="88"/>
      <c r="AR51" s="74"/>
    </row>
    <row r="52" spans="1:44" x14ac:dyDescent="0.45">
      <c r="A52" s="118">
        <f t="shared" si="5"/>
        <v>44</v>
      </c>
      <c r="B52" s="35" t="s">
        <v>42</v>
      </c>
      <c r="C52" s="35"/>
      <c r="D52" s="34"/>
      <c r="E52" s="34"/>
      <c r="F52" s="74"/>
      <c r="G52" s="88"/>
      <c r="H52" s="88"/>
      <c r="I52" s="88"/>
      <c r="J52" s="88"/>
      <c r="K52" s="88"/>
      <c r="L52" s="74"/>
      <c r="N52" s="74"/>
      <c r="O52" s="88"/>
      <c r="P52" s="88"/>
      <c r="Q52" s="88"/>
      <c r="R52" s="88"/>
      <c r="S52" s="88"/>
      <c r="T52" s="88"/>
      <c r="U52" s="88"/>
      <c r="V52" s="88"/>
      <c r="W52" s="88"/>
      <c r="Y52" s="88"/>
      <c r="Z52" s="88"/>
      <c r="AA52" s="88"/>
      <c r="AB52" s="74"/>
      <c r="AD52" s="74"/>
      <c r="AE52" s="88"/>
      <c r="AF52" s="88"/>
      <c r="AG52" s="88"/>
      <c r="AH52" s="88"/>
      <c r="AI52" s="88"/>
      <c r="AJ52" s="88"/>
      <c r="AK52" s="88"/>
      <c r="AL52" s="88"/>
      <c r="AM52" s="88"/>
      <c r="AO52" s="88"/>
      <c r="AP52" s="88"/>
      <c r="AQ52" s="88"/>
      <c r="AR52" s="74"/>
    </row>
    <row r="53" spans="1:44" x14ac:dyDescent="0.45">
      <c r="A53" s="118">
        <f t="shared" si="5"/>
        <v>45</v>
      </c>
      <c r="B53" s="57">
        <v>555</v>
      </c>
      <c r="C53" s="34" t="s">
        <v>43</v>
      </c>
      <c r="D53" s="34" t="s">
        <v>44</v>
      </c>
      <c r="E53" s="25">
        <v>128463152</v>
      </c>
      <c r="F53" s="8">
        <v>101</v>
      </c>
      <c r="G53" s="1">
        <f>VLOOKUP($F53,AF!$B$39:$M$80,G$9)*$E53</f>
        <v>0</v>
      </c>
      <c r="H53" s="1">
        <f>VLOOKUP($F53,AF!$B$39:$M$80,H$9)*$E53</f>
        <v>0</v>
      </c>
      <c r="I53" s="1">
        <f>VLOOKUP($F53,AF!$B$39:$M$80,I$9)*$E53</f>
        <v>0</v>
      </c>
      <c r="J53" s="1">
        <f>VLOOKUP($F53,AF!$B$39:$M$80,J$9)*$E53</f>
        <v>0</v>
      </c>
      <c r="K53" s="1">
        <f t="shared" ref="K53:K56" si="79">E53-SUM(G53:J53)</f>
        <v>128463152</v>
      </c>
      <c r="L53" s="72">
        <f>$E53-SUM(G53:K53)</f>
        <v>0</v>
      </c>
      <c r="N53" s="8">
        <v>206</v>
      </c>
      <c r="O53" s="1">
        <f>VLOOKUP($N53,AF!$B$39:$M$80,O$9)*$G53</f>
        <v>0</v>
      </c>
      <c r="P53" s="1">
        <f>VLOOKUP($N53,AF!$B$39:$M$80,P$9)*$G53</f>
        <v>0</v>
      </c>
      <c r="Q53" s="1">
        <f>VLOOKUP($N53,AF!$B$39:$M$80,Q$9)*$H53</f>
        <v>0</v>
      </c>
      <c r="R53" s="1">
        <f>VLOOKUP($N53,AF!$B$39:$M$80,R$9)*$H53</f>
        <v>0</v>
      </c>
      <c r="S53" s="1">
        <f>VLOOKUP($N53,AF!$B$39:$M$80,S$9)*$I53</f>
        <v>0</v>
      </c>
      <c r="T53" s="1">
        <f>VLOOKUP($N53,AF!$B$39:$M$80,T$9)*$I53</f>
        <v>0</v>
      </c>
      <c r="U53" s="1">
        <f>VLOOKUP($N53,AF!$B$39:$M$80,U$9)*$J53</f>
        <v>0</v>
      </c>
      <c r="V53" s="1">
        <f>VLOOKUP($N53,AF!$B$39:$M$80,V$9)*$J53</f>
        <v>0</v>
      </c>
      <c r="W53" s="1">
        <f t="shared" ref="W53:W56" si="80">E53-SUM(O53:V53)</f>
        <v>128463152</v>
      </c>
      <c r="Y53" s="1">
        <f t="shared" ref="Y53:Z56" si="81">+O53+Q53+S53+U53</f>
        <v>0</v>
      </c>
      <c r="Z53" s="1">
        <f t="shared" si="81"/>
        <v>0</v>
      </c>
      <c r="AA53" s="1">
        <f t="shared" ref="AA53:AA56" si="82">+Z53+Y53+W53</f>
        <v>128463152</v>
      </c>
      <c r="AB53" s="72">
        <f t="shared" ref="AB53:AB57" si="83">$E53-AA53</f>
        <v>0</v>
      </c>
      <c r="AD53" s="72">
        <v>302</v>
      </c>
      <c r="AE53" s="1">
        <f>VLOOKUP($AD53,AF!$B$39:$M$80,AE$9)*$O53</f>
        <v>0</v>
      </c>
      <c r="AF53" s="1">
        <f>VLOOKUP($AD53,AF!$B$39:$M$80,AF$9)*$P53</f>
        <v>0</v>
      </c>
      <c r="AG53" s="1">
        <f>VLOOKUP($AD53,AF!$B$39:$M$80,AG$9)*$Q53</f>
        <v>0</v>
      </c>
      <c r="AH53" s="1">
        <f>VLOOKUP($AD53,AF!$B$39:$M$80,AH$9)*$R53</f>
        <v>0</v>
      </c>
      <c r="AI53" s="1">
        <f>VLOOKUP($AD53,AF!$B$39:$M$80,AI$9)*$S53</f>
        <v>0</v>
      </c>
      <c r="AJ53" s="1">
        <f>VLOOKUP($AD53,AF!$B$39:$M$80,AJ$9)*$T53</f>
        <v>0</v>
      </c>
      <c r="AK53" s="1">
        <f>VLOOKUP($AD53,AF!$B$39:$M$80,AK$9)*$U53</f>
        <v>0</v>
      </c>
      <c r="AL53" s="1">
        <f>VLOOKUP($AD53,AF!$B$39:$M$80,AL$9)*$V53</f>
        <v>0</v>
      </c>
      <c r="AM53" s="1">
        <f t="shared" ref="AM53:AM56" si="84">E53-SUM(AE53:AL53)</f>
        <v>128463152</v>
      </c>
      <c r="AO53" s="1">
        <f t="shared" ref="AO53:AP56" si="85">+AE53+AG53+AI53+AK53</f>
        <v>0</v>
      </c>
      <c r="AP53" s="1">
        <f t="shared" si="85"/>
        <v>0</v>
      </c>
      <c r="AQ53" s="1">
        <f t="shared" ref="AQ53:AQ56" si="86">+AP53+AO53+AM53</f>
        <v>128463152</v>
      </c>
      <c r="AR53" s="72">
        <f t="shared" ref="AR53:AR57" si="87">$E53-AQ53</f>
        <v>0</v>
      </c>
    </row>
    <row r="54" spans="1:44" x14ac:dyDescent="0.45">
      <c r="A54" s="118">
        <f t="shared" si="5"/>
        <v>46</v>
      </c>
      <c r="B54" s="57">
        <v>556</v>
      </c>
      <c r="C54" s="34" t="s">
        <v>37</v>
      </c>
      <c r="D54" s="34" t="s">
        <v>834</v>
      </c>
      <c r="E54" s="25">
        <f>1469870-E55</f>
        <v>1469870</v>
      </c>
      <c r="F54" s="8">
        <v>102</v>
      </c>
      <c r="G54" s="1">
        <f>VLOOKUP($F54,AF!$B$39:$M$80,G$9)*$E54</f>
        <v>25269.971346704871</v>
      </c>
      <c r="H54" s="1">
        <f>VLOOKUP($F54,AF!$B$39:$M$80,H$9)*$E54</f>
        <v>21058.309455587394</v>
      </c>
      <c r="I54" s="1">
        <f>VLOOKUP($F54,AF!$B$39:$M$80,I$9)*$E54</f>
        <v>71598.25214899714</v>
      </c>
      <c r="J54" s="1">
        <f>VLOOKUP($F54,AF!$B$39:$M$80,J$9)*$E54</f>
        <v>0</v>
      </c>
      <c r="K54" s="1">
        <f t="shared" si="79"/>
        <v>1351943.4670487107</v>
      </c>
      <c r="L54" s="72">
        <f>$E54-SUM(G54:K54)</f>
        <v>0</v>
      </c>
      <c r="N54" s="8">
        <v>204</v>
      </c>
      <c r="O54" s="1">
        <f>VLOOKUP($N54,AF!$B$39:$M$80,O$9)*$G54</f>
        <v>4211.6618911174783</v>
      </c>
      <c r="P54" s="1">
        <f>VLOOKUP($N54,AF!$B$39:$M$80,P$9)*$G54</f>
        <v>21058.309455587394</v>
      </c>
      <c r="Q54" s="1">
        <f>VLOOKUP($N54,AF!$B$39:$M$80,Q$9)*$H54</f>
        <v>21058.309455587394</v>
      </c>
      <c r="R54" s="1">
        <f>VLOOKUP($N54,AF!$B$39:$M$80,R$9)*$H54</f>
        <v>0</v>
      </c>
      <c r="S54" s="1">
        <f>VLOOKUP($N54,AF!$B$39:$M$80,S$9)*$I54</f>
        <v>71598.25214899714</v>
      </c>
      <c r="T54" s="1">
        <f>VLOOKUP($N54,AF!$B$39:$M$80,T$9)*$I54</f>
        <v>0</v>
      </c>
      <c r="U54" s="1">
        <f>VLOOKUP($N54,AF!$B$39:$M$80,U$9)*$J54</f>
        <v>0</v>
      </c>
      <c r="V54" s="1">
        <f>VLOOKUP($N54,AF!$B$39:$M$80,V$9)*$J54</f>
        <v>0</v>
      </c>
      <c r="W54" s="1">
        <f t="shared" si="80"/>
        <v>1351943.4670487107</v>
      </c>
      <c r="Y54" s="1">
        <f t="shared" si="81"/>
        <v>96868.223495702012</v>
      </c>
      <c r="Z54" s="1">
        <f t="shared" si="81"/>
        <v>21058.309455587394</v>
      </c>
      <c r="AA54" s="1">
        <f t="shared" si="82"/>
        <v>1469870</v>
      </c>
      <c r="AB54" s="72">
        <f t="shared" si="83"/>
        <v>0</v>
      </c>
      <c r="AD54" s="72">
        <v>305</v>
      </c>
      <c r="AE54" s="1">
        <f ca="1">VLOOKUP($AD54,AF!$B$39:$M$80,AE$9)*$O54</f>
        <v>3310.9523102567996</v>
      </c>
      <c r="AF54" s="1">
        <f ca="1">VLOOKUP($AD54,AF!$B$39:$M$80,AF$9)*$P54</f>
        <v>5878.6045158694278</v>
      </c>
      <c r="AG54" s="1">
        <f ca="1">VLOOKUP($AD54,AF!$B$39:$M$80,AG$9)*$Q54</f>
        <v>12891.951523195708</v>
      </c>
      <c r="AH54" s="1">
        <f ca="1">VLOOKUP($AD54,AF!$B$39:$M$80,AH$9)*$R54</f>
        <v>0</v>
      </c>
      <c r="AI54" s="1">
        <f ca="1">VLOOKUP($AD54,AF!$B$39:$M$80,AI$9)*$S54</f>
        <v>22126.435655731675</v>
      </c>
      <c r="AJ54" s="1">
        <f ca="1">VLOOKUP($AD54,AF!$B$39:$M$80,AJ$9)*$T54</f>
        <v>0</v>
      </c>
      <c r="AK54" s="1">
        <f ca="1">VLOOKUP($AD54,AF!$B$39:$M$80,AK$9)*$U54</f>
        <v>0</v>
      </c>
      <c r="AL54" s="1">
        <f ca="1">VLOOKUP($AD54,AF!$B$39:$M$80,AL$9)*$V54</f>
        <v>0</v>
      </c>
      <c r="AM54" s="1">
        <f t="shared" ca="1" si="84"/>
        <v>1425662.0559949465</v>
      </c>
      <c r="AO54" s="1">
        <f t="shared" ca="1" si="85"/>
        <v>38329.339489184182</v>
      </c>
      <c r="AP54" s="1">
        <f t="shared" ca="1" si="85"/>
        <v>5878.6045158694278</v>
      </c>
      <c r="AQ54" s="1">
        <f t="shared" ca="1" si="86"/>
        <v>1469870</v>
      </c>
      <c r="AR54" s="72">
        <f t="shared" ca="1" si="87"/>
        <v>0</v>
      </c>
    </row>
    <row r="55" spans="1:44" x14ac:dyDescent="0.45">
      <c r="A55" s="118">
        <f t="shared" si="5"/>
        <v>47</v>
      </c>
      <c r="B55" s="57">
        <v>556</v>
      </c>
      <c r="C55" s="34" t="s">
        <v>99</v>
      </c>
      <c r="D55" s="34"/>
      <c r="E55" s="25">
        <v>0</v>
      </c>
      <c r="F55" s="8">
        <v>101</v>
      </c>
      <c r="G55" s="1">
        <f>VLOOKUP($F55,AF!$B$39:$M$80,G$9)*$E55</f>
        <v>0</v>
      </c>
      <c r="H55" s="1">
        <f>VLOOKUP($F55,AF!$B$39:$M$80,H$9)*$E55</f>
        <v>0</v>
      </c>
      <c r="I55" s="1">
        <f>VLOOKUP($F55,AF!$B$39:$M$80,I$9)*$E55</f>
        <v>0</v>
      </c>
      <c r="J55" s="1">
        <f>VLOOKUP($F55,AF!$B$39:$M$80,J$9)*$E55</f>
        <v>0</v>
      </c>
      <c r="K55" s="1">
        <f t="shared" si="79"/>
        <v>0</v>
      </c>
      <c r="L55" s="72">
        <f>$E55-SUM(G55:K55)</f>
        <v>0</v>
      </c>
      <c r="N55" s="8">
        <v>206</v>
      </c>
      <c r="O55" s="1">
        <f>VLOOKUP($N55,AF!$B$39:$M$80,O$9)*$G55</f>
        <v>0</v>
      </c>
      <c r="P55" s="1">
        <f>VLOOKUP($N55,AF!$B$39:$M$80,P$9)*$G55</f>
        <v>0</v>
      </c>
      <c r="Q55" s="1">
        <f>VLOOKUP($N55,AF!$B$39:$M$80,Q$9)*$H55</f>
        <v>0</v>
      </c>
      <c r="R55" s="1">
        <f>VLOOKUP($N55,AF!$B$39:$M$80,R$9)*$H55</f>
        <v>0</v>
      </c>
      <c r="S55" s="1">
        <f>VLOOKUP($N55,AF!$B$39:$M$80,S$9)*$I55</f>
        <v>0</v>
      </c>
      <c r="T55" s="1">
        <f>VLOOKUP($N55,AF!$B$39:$M$80,T$9)*$I55</f>
        <v>0</v>
      </c>
      <c r="U55" s="1">
        <f>VLOOKUP($N55,AF!$B$39:$M$80,U$9)*$J55</f>
        <v>0</v>
      </c>
      <c r="V55" s="1">
        <f>VLOOKUP($N55,AF!$B$39:$M$80,V$9)*$J55</f>
        <v>0</v>
      </c>
      <c r="W55" s="1">
        <f t="shared" si="80"/>
        <v>0</v>
      </c>
      <c r="Y55" s="1">
        <f t="shared" si="81"/>
        <v>0</v>
      </c>
      <c r="Z55" s="1">
        <f t="shared" si="81"/>
        <v>0</v>
      </c>
      <c r="AA55" s="1">
        <f t="shared" si="82"/>
        <v>0</v>
      </c>
      <c r="AB55" s="72">
        <f t="shared" si="83"/>
        <v>0</v>
      </c>
      <c r="AD55" s="72">
        <v>302</v>
      </c>
      <c r="AE55" s="1">
        <f>VLOOKUP($AD55,AF!$B$39:$M$80,AE$9)*$O55</f>
        <v>0</v>
      </c>
      <c r="AF55" s="1">
        <f>VLOOKUP($AD55,AF!$B$39:$M$80,AF$9)*$P55</f>
        <v>0</v>
      </c>
      <c r="AG55" s="1">
        <f>VLOOKUP($AD55,AF!$B$39:$M$80,AG$9)*$Q55</f>
        <v>0</v>
      </c>
      <c r="AH55" s="1">
        <f>VLOOKUP($AD55,AF!$B$39:$M$80,AH$9)*$R55</f>
        <v>0</v>
      </c>
      <c r="AI55" s="1">
        <f>VLOOKUP($AD55,AF!$B$39:$M$80,AI$9)*$S55</f>
        <v>0</v>
      </c>
      <c r="AJ55" s="1">
        <f>VLOOKUP($AD55,AF!$B$39:$M$80,AJ$9)*$T55</f>
        <v>0</v>
      </c>
      <c r="AK55" s="1">
        <f>VLOOKUP($AD55,AF!$B$39:$M$80,AK$9)*$U55</f>
        <v>0</v>
      </c>
      <c r="AL55" s="1">
        <f>VLOOKUP($AD55,AF!$B$39:$M$80,AL$9)*$V55</f>
        <v>0</v>
      </c>
      <c r="AM55" s="1">
        <f t="shared" si="84"/>
        <v>0</v>
      </c>
      <c r="AO55" s="1">
        <f t="shared" si="85"/>
        <v>0</v>
      </c>
      <c r="AP55" s="1">
        <f t="shared" si="85"/>
        <v>0</v>
      </c>
      <c r="AQ55" s="1">
        <f t="shared" si="86"/>
        <v>0</v>
      </c>
      <c r="AR55" s="72">
        <f t="shared" si="87"/>
        <v>0</v>
      </c>
    </row>
    <row r="56" spans="1:44" x14ac:dyDescent="0.45">
      <c r="A56" s="118">
        <f t="shared" si="5"/>
        <v>48</v>
      </c>
      <c r="B56" s="57">
        <v>557</v>
      </c>
      <c r="C56" s="34" t="s">
        <v>143</v>
      </c>
      <c r="D56" s="34" t="s">
        <v>50</v>
      </c>
      <c r="E56" s="26">
        <v>1595702</v>
      </c>
      <c r="F56" s="8">
        <v>101</v>
      </c>
      <c r="G56" s="133">
        <f>VLOOKUP($F56,AF!$B$39:$M$80,G$9)*$E56</f>
        <v>0</v>
      </c>
      <c r="H56" s="133">
        <f>VLOOKUP($F56,AF!$B$39:$M$80,H$9)*$E56</f>
        <v>0</v>
      </c>
      <c r="I56" s="133">
        <f>VLOOKUP($F56,AF!$B$39:$M$80,I$9)*$E56</f>
        <v>0</v>
      </c>
      <c r="J56" s="133">
        <f>VLOOKUP($F56,AF!$B$39:$M$80,J$9)*$E56</f>
        <v>0</v>
      </c>
      <c r="K56" s="133">
        <f t="shared" si="79"/>
        <v>1595702</v>
      </c>
      <c r="L56" s="72">
        <f>$E56-SUM(G56:K56)</f>
        <v>0</v>
      </c>
      <c r="N56" s="8">
        <v>206</v>
      </c>
      <c r="O56" s="133">
        <f>VLOOKUP($N56,AF!$B$39:$M$80,O$9)*$G56</f>
        <v>0</v>
      </c>
      <c r="P56" s="133">
        <f>VLOOKUP($N56,AF!$B$39:$M$80,P$9)*$G56</f>
        <v>0</v>
      </c>
      <c r="Q56" s="133">
        <f>VLOOKUP($N56,AF!$B$39:$M$80,Q$9)*$H56</f>
        <v>0</v>
      </c>
      <c r="R56" s="133">
        <f>VLOOKUP($N56,AF!$B$39:$M$80,R$9)*$H56</f>
        <v>0</v>
      </c>
      <c r="S56" s="133">
        <f>VLOOKUP($N56,AF!$B$39:$M$80,S$9)*$I56</f>
        <v>0</v>
      </c>
      <c r="T56" s="133">
        <f>VLOOKUP($N56,AF!$B$39:$M$80,T$9)*$I56</f>
        <v>0</v>
      </c>
      <c r="U56" s="133">
        <f>VLOOKUP($N56,AF!$B$39:$M$80,U$9)*$J56</f>
        <v>0</v>
      </c>
      <c r="V56" s="133">
        <f>VLOOKUP($N56,AF!$B$39:$M$80,V$9)*$J56</f>
        <v>0</v>
      </c>
      <c r="W56" s="133">
        <f t="shared" si="80"/>
        <v>1595702</v>
      </c>
      <c r="Y56" s="133">
        <f t="shared" si="81"/>
        <v>0</v>
      </c>
      <c r="Z56" s="133">
        <f t="shared" si="81"/>
        <v>0</v>
      </c>
      <c r="AA56" s="133">
        <f t="shared" si="82"/>
        <v>1595702</v>
      </c>
      <c r="AB56" s="72">
        <f t="shared" si="83"/>
        <v>0</v>
      </c>
      <c r="AD56" s="72">
        <v>302</v>
      </c>
      <c r="AE56" s="133">
        <f>VLOOKUP($AD56,AF!$B$39:$M$80,AE$9)*$O56</f>
        <v>0</v>
      </c>
      <c r="AF56" s="133">
        <f>VLOOKUP($AD56,AF!$B$39:$M$80,AF$9)*$P56</f>
        <v>0</v>
      </c>
      <c r="AG56" s="133">
        <f>VLOOKUP($AD56,AF!$B$39:$M$80,AG$9)*$Q56</f>
        <v>0</v>
      </c>
      <c r="AH56" s="133">
        <f>VLOOKUP($AD56,AF!$B$39:$M$80,AH$9)*$R56</f>
        <v>0</v>
      </c>
      <c r="AI56" s="133">
        <f>VLOOKUP($AD56,AF!$B$39:$M$80,AI$9)*$S56</f>
        <v>0</v>
      </c>
      <c r="AJ56" s="133">
        <f>VLOOKUP($AD56,AF!$B$39:$M$80,AJ$9)*$T56</f>
        <v>0</v>
      </c>
      <c r="AK56" s="133">
        <f>VLOOKUP($AD56,AF!$B$39:$M$80,AK$9)*$U56</f>
        <v>0</v>
      </c>
      <c r="AL56" s="133">
        <f>VLOOKUP($AD56,AF!$B$39:$M$80,AL$9)*$V56</f>
        <v>0</v>
      </c>
      <c r="AM56" s="133">
        <f t="shared" si="84"/>
        <v>1595702</v>
      </c>
      <c r="AO56" s="133">
        <f t="shared" si="85"/>
        <v>0</v>
      </c>
      <c r="AP56" s="133">
        <f t="shared" si="85"/>
        <v>0</v>
      </c>
      <c r="AQ56" s="133">
        <f t="shared" si="86"/>
        <v>1595702</v>
      </c>
      <c r="AR56" s="72">
        <f t="shared" si="87"/>
        <v>0</v>
      </c>
    </row>
    <row r="57" spans="1:44" x14ac:dyDescent="0.45">
      <c r="A57" s="118">
        <f t="shared" si="5"/>
        <v>49</v>
      </c>
      <c r="B57" s="34"/>
      <c r="C57" s="34" t="s">
        <v>0</v>
      </c>
      <c r="D57" s="34"/>
      <c r="E57" s="1">
        <f>SUM(E53:E56)</f>
        <v>131528724</v>
      </c>
      <c r="F57" s="8"/>
      <c r="G57" s="1">
        <f t="shared" ref="G57:K57" si="88">SUM(G53:G56)</f>
        <v>25269.971346704871</v>
      </c>
      <c r="H57" s="1">
        <f t="shared" si="88"/>
        <v>21058.309455587394</v>
      </c>
      <c r="I57" s="1">
        <f t="shared" si="88"/>
        <v>71598.25214899714</v>
      </c>
      <c r="J57" s="1">
        <f t="shared" si="88"/>
        <v>0</v>
      </c>
      <c r="K57" s="1">
        <f t="shared" si="88"/>
        <v>131410797.4670487</v>
      </c>
      <c r="L57" s="72">
        <f>$E57-SUM(G57:K57)</f>
        <v>0</v>
      </c>
      <c r="N57" s="8"/>
      <c r="O57" s="1">
        <f t="shared" ref="O57:W57" si="89">SUM(O53:O56)</f>
        <v>4211.6618911174783</v>
      </c>
      <c r="P57" s="1">
        <f t="shared" si="89"/>
        <v>21058.309455587394</v>
      </c>
      <c r="Q57" s="1">
        <f t="shared" si="89"/>
        <v>21058.309455587394</v>
      </c>
      <c r="R57" s="1">
        <f t="shared" si="89"/>
        <v>0</v>
      </c>
      <c r="S57" s="1">
        <f t="shared" si="89"/>
        <v>71598.25214899714</v>
      </c>
      <c r="T57" s="1">
        <f t="shared" si="89"/>
        <v>0</v>
      </c>
      <c r="U57" s="1">
        <f t="shared" si="89"/>
        <v>0</v>
      </c>
      <c r="V57" s="1">
        <f t="shared" si="89"/>
        <v>0</v>
      </c>
      <c r="W57" s="1">
        <f t="shared" si="89"/>
        <v>131410797.4670487</v>
      </c>
      <c r="Y57" s="1">
        <f t="shared" ref="Y57:AA57" si="90">SUM(Y53:Y56)</f>
        <v>96868.223495702012</v>
      </c>
      <c r="Z57" s="1">
        <f t="shared" si="90"/>
        <v>21058.309455587394</v>
      </c>
      <c r="AA57" s="1">
        <f t="shared" si="90"/>
        <v>131528724</v>
      </c>
      <c r="AB57" s="72">
        <f t="shared" si="83"/>
        <v>0</v>
      </c>
      <c r="AD57" s="8"/>
      <c r="AE57" s="1">
        <f t="shared" ref="AE57:AM57" ca="1" si="91">SUM(AE53:AE56)</f>
        <v>3310.9523102567996</v>
      </c>
      <c r="AF57" s="1">
        <f t="shared" ca="1" si="91"/>
        <v>5878.6045158694278</v>
      </c>
      <c r="AG57" s="1">
        <f t="shared" ca="1" si="91"/>
        <v>12891.951523195708</v>
      </c>
      <c r="AH57" s="1">
        <f t="shared" ca="1" si="91"/>
        <v>0</v>
      </c>
      <c r="AI57" s="1">
        <f t="shared" ca="1" si="91"/>
        <v>22126.435655731675</v>
      </c>
      <c r="AJ57" s="1">
        <f t="shared" ca="1" si="91"/>
        <v>0</v>
      </c>
      <c r="AK57" s="1">
        <f t="shared" ca="1" si="91"/>
        <v>0</v>
      </c>
      <c r="AL57" s="1">
        <f t="shared" ca="1" si="91"/>
        <v>0</v>
      </c>
      <c r="AM57" s="1">
        <f t="shared" ca="1" si="91"/>
        <v>131484516.05599494</v>
      </c>
      <c r="AO57" s="1">
        <f t="shared" ref="AO57:AQ57" ca="1" si="92">SUM(AO53:AO56)</f>
        <v>38329.339489184182</v>
      </c>
      <c r="AP57" s="1">
        <f t="shared" ca="1" si="92"/>
        <v>5878.6045158694278</v>
      </c>
      <c r="AQ57" s="1">
        <f t="shared" ca="1" si="92"/>
        <v>131528724</v>
      </c>
      <c r="AR57" s="72">
        <f t="shared" ca="1" si="87"/>
        <v>0</v>
      </c>
    </row>
    <row r="58" spans="1:44" x14ac:dyDescent="0.45">
      <c r="A58" s="118">
        <f t="shared" si="5"/>
        <v>50</v>
      </c>
      <c r="B58" s="34"/>
      <c r="C58" s="34"/>
      <c r="D58" s="34"/>
      <c r="E58" s="1"/>
      <c r="F58" s="8"/>
      <c r="G58" s="1"/>
      <c r="H58" s="1"/>
      <c r="I58" s="1"/>
      <c r="J58" s="1"/>
      <c r="K58" s="1"/>
      <c r="L58" s="8"/>
      <c r="N58" s="8"/>
      <c r="O58" s="1"/>
      <c r="P58" s="1"/>
      <c r="Q58" s="1"/>
      <c r="R58" s="1"/>
      <c r="S58" s="1"/>
      <c r="T58" s="1"/>
      <c r="U58" s="1"/>
      <c r="V58" s="1"/>
      <c r="W58" s="1"/>
      <c r="Y58" s="1"/>
      <c r="Z58" s="1"/>
      <c r="AA58" s="1"/>
      <c r="AB58" s="8"/>
      <c r="AD58" s="8"/>
      <c r="AE58" s="1"/>
      <c r="AF58" s="1"/>
      <c r="AG58" s="1"/>
      <c r="AH58" s="1"/>
      <c r="AI58" s="1"/>
      <c r="AJ58" s="1"/>
      <c r="AK58" s="1"/>
      <c r="AL58" s="1"/>
      <c r="AM58" s="1"/>
      <c r="AO58" s="1"/>
      <c r="AP58" s="1"/>
      <c r="AQ58" s="1"/>
      <c r="AR58" s="8"/>
    </row>
    <row r="59" spans="1:44" x14ac:dyDescent="0.45">
      <c r="A59" s="118">
        <f t="shared" si="5"/>
        <v>51</v>
      </c>
      <c r="B59" s="34"/>
      <c r="C59" s="34"/>
      <c r="D59" s="34"/>
      <c r="E59" s="34"/>
      <c r="F59" s="74"/>
      <c r="G59" s="88"/>
      <c r="H59" s="88"/>
      <c r="I59" s="88"/>
      <c r="J59" s="88"/>
      <c r="K59" s="88"/>
      <c r="L59" s="74"/>
      <c r="N59" s="74"/>
      <c r="O59" s="88"/>
      <c r="P59" s="88"/>
      <c r="Q59" s="88"/>
      <c r="R59" s="88"/>
      <c r="S59" s="88"/>
      <c r="T59" s="88"/>
      <c r="U59" s="88"/>
      <c r="V59" s="88"/>
      <c r="W59" s="88"/>
      <c r="Y59" s="88"/>
      <c r="Z59" s="88"/>
      <c r="AA59" s="88"/>
      <c r="AB59" s="74"/>
      <c r="AD59" s="74"/>
      <c r="AE59" s="88"/>
      <c r="AF59" s="88"/>
      <c r="AG59" s="88"/>
      <c r="AH59" s="88"/>
      <c r="AI59" s="88"/>
      <c r="AJ59" s="88"/>
      <c r="AK59" s="88"/>
      <c r="AL59" s="88"/>
      <c r="AM59" s="88"/>
      <c r="AO59" s="88"/>
      <c r="AP59" s="88"/>
      <c r="AQ59" s="88"/>
      <c r="AR59" s="74"/>
    </row>
    <row r="60" spans="1:44" x14ac:dyDescent="0.45">
      <c r="A60" s="118">
        <f t="shared" si="5"/>
        <v>52</v>
      </c>
      <c r="B60" s="35" t="s">
        <v>405</v>
      </c>
      <c r="C60" s="35"/>
      <c r="D60" s="34"/>
      <c r="E60" s="34"/>
      <c r="F60" s="74"/>
      <c r="G60" s="88"/>
      <c r="H60" s="88"/>
      <c r="I60" s="88"/>
      <c r="J60" s="88"/>
      <c r="K60" s="88"/>
      <c r="L60" s="74"/>
      <c r="N60" s="74"/>
      <c r="O60" s="88"/>
      <c r="P60" s="88"/>
      <c r="Q60" s="88"/>
      <c r="R60" s="88"/>
      <c r="S60" s="88"/>
      <c r="T60" s="88"/>
      <c r="U60" s="88"/>
      <c r="V60" s="88"/>
      <c r="W60" s="88"/>
      <c r="Y60" s="88"/>
      <c r="Z60" s="88"/>
      <c r="AA60" s="88"/>
      <c r="AB60" s="74"/>
      <c r="AD60" s="74"/>
      <c r="AE60" s="88"/>
      <c r="AF60" s="88"/>
      <c r="AG60" s="88"/>
      <c r="AH60" s="88"/>
      <c r="AI60" s="88"/>
      <c r="AJ60" s="88"/>
      <c r="AK60" s="88"/>
      <c r="AL60" s="88"/>
      <c r="AM60" s="88"/>
      <c r="AO60" s="88"/>
      <c r="AP60" s="88"/>
      <c r="AQ60" s="88"/>
      <c r="AR60" s="74"/>
    </row>
    <row r="61" spans="1:44" x14ac:dyDescent="0.45">
      <c r="A61" s="118">
        <f t="shared" si="5"/>
        <v>53</v>
      </c>
      <c r="B61" s="57">
        <v>560</v>
      </c>
      <c r="C61" s="34" t="s">
        <v>365</v>
      </c>
      <c r="D61" s="34" t="s">
        <v>47</v>
      </c>
      <c r="E61" s="25">
        <v>400792</v>
      </c>
      <c r="F61" s="74">
        <v>102</v>
      </c>
      <c r="G61" s="1">
        <f>VLOOKUP($F61,AF!$B$39:$M$80,G$9)*$E61</f>
        <v>6890.4068767908311</v>
      </c>
      <c r="H61" s="1">
        <f>VLOOKUP($F61,AF!$B$39:$M$80,H$9)*$E61</f>
        <v>5742.0057306590261</v>
      </c>
      <c r="I61" s="1">
        <f>VLOOKUP($F61,AF!$B$39:$M$80,I$9)*$E61</f>
        <v>19522.819484240688</v>
      </c>
      <c r="J61" s="1">
        <f>VLOOKUP($F61,AF!$B$39:$M$80,J$9)*$E61</f>
        <v>0</v>
      </c>
      <c r="K61" s="1">
        <f t="shared" ref="K61:K89" si="93">E61-SUM(G61:J61)</f>
        <v>368636.76790830947</v>
      </c>
      <c r="L61" s="72">
        <f t="shared" ref="L61:L91" si="94">$E61-SUM(G61:K61)</f>
        <v>0</v>
      </c>
      <c r="N61" s="8">
        <v>204</v>
      </c>
      <c r="O61" s="1">
        <f>VLOOKUP($N61,AF!$B$39:$M$80,O$9)*$G61</f>
        <v>1148.401146131805</v>
      </c>
      <c r="P61" s="1">
        <f>VLOOKUP($N61,AF!$B$39:$M$80,P$9)*$G61</f>
        <v>5742.0057306590261</v>
      </c>
      <c r="Q61" s="1">
        <f>VLOOKUP($N61,AF!$B$39:$M$80,Q$9)*$H61</f>
        <v>5742.0057306590261</v>
      </c>
      <c r="R61" s="1">
        <f>VLOOKUP($N61,AF!$B$39:$M$80,R$9)*$H61</f>
        <v>0</v>
      </c>
      <c r="S61" s="1">
        <f>VLOOKUP($N61,AF!$B$39:$M$80,S$9)*$I61</f>
        <v>19522.819484240688</v>
      </c>
      <c r="T61" s="1">
        <f>VLOOKUP($N61,AF!$B$39:$M$80,T$9)*$I61</f>
        <v>0</v>
      </c>
      <c r="U61" s="1">
        <f>VLOOKUP($N61,AF!$B$39:$M$80,U$9)*$J61</f>
        <v>0</v>
      </c>
      <c r="V61" s="1">
        <f>VLOOKUP($N61,AF!$B$39:$M$80,V$9)*$J61</f>
        <v>0</v>
      </c>
      <c r="W61" s="1">
        <f t="shared" ref="W61:W90" si="95">E61-SUM(O61:V61)</f>
        <v>368636.76790830947</v>
      </c>
      <c r="Y61" s="1">
        <f t="shared" ref="Y61:Y90" si="96">+O61+Q61+S61+U61</f>
        <v>26413.22636103152</v>
      </c>
      <c r="Z61" s="1">
        <f t="shared" ref="Z61:Z90" si="97">+P61+R61+T61+V61</f>
        <v>5742.0057306590261</v>
      </c>
      <c r="AA61" s="1">
        <f t="shared" ref="AA61:AA90" si="98">+Z61+Y61+W61</f>
        <v>400792</v>
      </c>
      <c r="AB61" s="72">
        <f t="shared" ref="AB61:AB91" si="99">$E61-AA61</f>
        <v>0</v>
      </c>
      <c r="AD61" s="72">
        <v>300</v>
      </c>
      <c r="AE61" s="1">
        <f>VLOOKUP($AD61,AF!$B$39:$M$80,AE$9)*$O61</f>
        <v>1148.401146131805</v>
      </c>
      <c r="AF61" s="1">
        <f>VLOOKUP($AD61,AF!$B$39:$M$80,AF$9)*$P61</f>
        <v>5742.0057306590261</v>
      </c>
      <c r="AG61" s="1">
        <f>VLOOKUP($AD61,AF!$B$39:$M$80,AG$9)*$Q61</f>
        <v>5742.0057306590261</v>
      </c>
      <c r="AH61" s="1">
        <f>VLOOKUP($AD61,AF!$B$39:$M$80,AH$9)*$R61</f>
        <v>0</v>
      </c>
      <c r="AI61" s="1">
        <f>VLOOKUP($AD61,AF!$B$39:$M$80,AI$9)*$S61</f>
        <v>19522.819484240688</v>
      </c>
      <c r="AJ61" s="1">
        <f>VLOOKUP($AD61,AF!$B$39:$M$80,AJ$9)*$T61</f>
        <v>0</v>
      </c>
      <c r="AK61" s="1">
        <f>VLOOKUP($AD61,AF!$B$39:$M$80,AK$9)*$U61</f>
        <v>0</v>
      </c>
      <c r="AL61" s="1">
        <f>VLOOKUP($AD61,AF!$B$39:$M$80,AL$9)*$V61</f>
        <v>0</v>
      </c>
      <c r="AM61" s="1">
        <f t="shared" ref="AM61:AM90" si="100">E61-SUM(AE61:AL61)</f>
        <v>368636.76790830947</v>
      </c>
      <c r="AO61" s="1">
        <f t="shared" ref="AO61:AO90" si="101">+AE61+AG61+AI61+AK61</f>
        <v>26413.22636103152</v>
      </c>
      <c r="AP61" s="1">
        <f t="shared" ref="AP61:AP90" si="102">+AF61+AH61+AJ61+AL61</f>
        <v>5742.0057306590261</v>
      </c>
      <c r="AQ61" s="1">
        <f t="shared" ref="AQ61:AQ90" si="103">+AP61+AO61+AM61</f>
        <v>400792</v>
      </c>
      <c r="AR61" s="72">
        <f t="shared" ref="AR61:AR91" si="104">$E61-AQ61</f>
        <v>0</v>
      </c>
    </row>
    <row r="62" spans="1:44" x14ac:dyDescent="0.45">
      <c r="A62" s="118">
        <f t="shared" si="5"/>
        <v>54</v>
      </c>
      <c r="B62" s="57" t="s">
        <v>577</v>
      </c>
      <c r="C62" s="57" t="s">
        <v>578</v>
      </c>
      <c r="D62" s="34"/>
      <c r="E62" s="17">
        <f>SUM(G62:K62)</f>
        <v>0</v>
      </c>
      <c r="F62" s="8">
        <v>100</v>
      </c>
      <c r="G62" s="25">
        <v>0</v>
      </c>
      <c r="H62" s="25">
        <v>0</v>
      </c>
      <c r="I62" s="25">
        <v>0</v>
      </c>
      <c r="J62" s="25">
        <v>0</v>
      </c>
      <c r="K62" s="25">
        <v>0</v>
      </c>
      <c r="L62" s="72">
        <f t="shared" si="94"/>
        <v>0</v>
      </c>
      <c r="N62" s="8">
        <v>202</v>
      </c>
      <c r="O62" s="1">
        <f>VLOOKUP($N62,AF!$B$39:$M$80,O$9)*$G62</f>
        <v>0</v>
      </c>
      <c r="P62" s="1">
        <f>VLOOKUP($N62,AF!$B$39:$M$80,P$9)*$G62</f>
        <v>0</v>
      </c>
      <c r="Q62" s="1">
        <f>VLOOKUP($N62,AF!$B$39:$M$80,Q$9)*$H62</f>
        <v>0</v>
      </c>
      <c r="R62" s="1">
        <f>VLOOKUP($N62,AF!$B$39:$M$80,R$9)*$H62</f>
        <v>0</v>
      </c>
      <c r="S62" s="1">
        <f>VLOOKUP($N62,AF!$B$39:$M$80,S$9)*$I62</f>
        <v>0</v>
      </c>
      <c r="T62" s="1">
        <f>VLOOKUP($N62,AF!$B$39:$M$80,T$9)*$I62</f>
        <v>0</v>
      </c>
      <c r="U62" s="1">
        <f>VLOOKUP($N62,AF!$B$39:$M$80,U$9)*$J62</f>
        <v>0</v>
      </c>
      <c r="V62" s="1">
        <f>VLOOKUP($N62,AF!$B$39:$M$80,V$9)*$J62</f>
        <v>0</v>
      </c>
      <c r="W62" s="1">
        <f t="shared" si="95"/>
        <v>0</v>
      </c>
      <c r="Y62" s="1">
        <f t="shared" si="96"/>
        <v>0</v>
      </c>
      <c r="Z62" s="1">
        <f t="shared" si="97"/>
        <v>0</v>
      </c>
      <c r="AA62" s="1">
        <f t="shared" si="98"/>
        <v>0</v>
      </c>
      <c r="AB62" s="72">
        <f t="shared" si="99"/>
        <v>0</v>
      </c>
      <c r="AD62" s="72">
        <v>300</v>
      </c>
      <c r="AE62" s="1">
        <f>VLOOKUP($AD62,AF!$B$39:$M$80,AE$9)*$O62</f>
        <v>0</v>
      </c>
      <c r="AF62" s="1">
        <f>VLOOKUP($AD62,AF!$B$39:$M$80,AF$9)*$P62</f>
        <v>0</v>
      </c>
      <c r="AG62" s="1">
        <f>VLOOKUP($AD62,AF!$B$39:$M$80,AG$9)*$Q62</f>
        <v>0</v>
      </c>
      <c r="AH62" s="1">
        <f>VLOOKUP($AD62,AF!$B$39:$M$80,AH$9)*$R62</f>
        <v>0</v>
      </c>
      <c r="AI62" s="1">
        <f>VLOOKUP($AD62,AF!$B$39:$M$80,AI$9)*$S62</f>
        <v>0</v>
      </c>
      <c r="AJ62" s="1">
        <f>VLOOKUP($AD62,AF!$B$39:$M$80,AJ$9)*$T62</f>
        <v>0</v>
      </c>
      <c r="AK62" s="1">
        <f>VLOOKUP($AD62,AF!$B$39:$M$80,AK$9)*$U62</f>
        <v>0</v>
      </c>
      <c r="AL62" s="1">
        <f>VLOOKUP($AD62,AF!$B$39:$M$80,AL$9)*$V62</f>
        <v>0</v>
      </c>
      <c r="AM62" s="1">
        <f t="shared" si="100"/>
        <v>0</v>
      </c>
      <c r="AO62" s="1">
        <f t="shared" si="101"/>
        <v>0</v>
      </c>
      <c r="AP62" s="1">
        <f t="shared" si="102"/>
        <v>0</v>
      </c>
      <c r="AQ62" s="1">
        <f t="shared" si="103"/>
        <v>0</v>
      </c>
      <c r="AR62" s="72">
        <f t="shared" si="104"/>
        <v>0</v>
      </c>
    </row>
    <row r="63" spans="1:44" x14ac:dyDescent="0.45">
      <c r="A63" s="118">
        <f t="shared" si="5"/>
        <v>55</v>
      </c>
      <c r="B63" s="57">
        <v>561.1</v>
      </c>
      <c r="C63" s="34" t="s">
        <v>366</v>
      </c>
      <c r="D63" s="34" t="s">
        <v>374</v>
      </c>
      <c r="E63" s="25">
        <v>0</v>
      </c>
      <c r="F63" s="8">
        <v>101</v>
      </c>
      <c r="G63" s="1">
        <f>VLOOKUP($F63,AF!$B$39:$M$80,G$9)*$E63</f>
        <v>0</v>
      </c>
      <c r="H63" s="1">
        <f>VLOOKUP($F63,AF!$B$39:$M$80,H$9)*$E63</f>
        <v>0</v>
      </c>
      <c r="I63" s="1">
        <f>VLOOKUP($F63,AF!$B$39:$M$80,I$9)*$E63</f>
        <v>0</v>
      </c>
      <c r="J63" s="1">
        <f>VLOOKUP($F63,AF!$B$39:$M$80,J$9)*$E63</f>
        <v>0</v>
      </c>
      <c r="K63" s="1">
        <f t="shared" si="93"/>
        <v>0</v>
      </c>
      <c r="L63" s="72">
        <f t="shared" si="94"/>
        <v>0</v>
      </c>
      <c r="N63" s="8">
        <v>206</v>
      </c>
      <c r="O63" s="1">
        <f>VLOOKUP($N63,AF!$B$39:$M$80,O$9)*$G63</f>
        <v>0</v>
      </c>
      <c r="P63" s="1">
        <f>VLOOKUP($N63,AF!$B$39:$M$80,P$9)*$G63</f>
        <v>0</v>
      </c>
      <c r="Q63" s="1">
        <f>VLOOKUP($N63,AF!$B$39:$M$80,Q$9)*$H63</f>
        <v>0</v>
      </c>
      <c r="R63" s="1">
        <f>VLOOKUP($N63,AF!$B$39:$M$80,R$9)*$H63</f>
        <v>0</v>
      </c>
      <c r="S63" s="1">
        <f>VLOOKUP($N63,AF!$B$39:$M$80,S$9)*$I63</f>
        <v>0</v>
      </c>
      <c r="T63" s="1">
        <f>VLOOKUP($N63,AF!$B$39:$M$80,T$9)*$I63</f>
        <v>0</v>
      </c>
      <c r="U63" s="1">
        <f>VLOOKUP($N63,AF!$B$39:$M$80,U$9)*$J63</f>
        <v>0</v>
      </c>
      <c r="V63" s="1">
        <f>VLOOKUP($N63,AF!$B$39:$M$80,V$9)*$J63</f>
        <v>0</v>
      </c>
      <c r="W63" s="1">
        <f t="shared" si="95"/>
        <v>0</v>
      </c>
      <c r="Y63" s="1">
        <f t="shared" si="96"/>
        <v>0</v>
      </c>
      <c r="Z63" s="1">
        <f t="shared" si="97"/>
        <v>0</v>
      </c>
      <c r="AA63" s="1">
        <f t="shared" si="98"/>
        <v>0</v>
      </c>
      <c r="AB63" s="72">
        <f t="shared" si="99"/>
        <v>0</v>
      </c>
      <c r="AD63" s="72">
        <v>300</v>
      </c>
      <c r="AE63" s="1">
        <f>VLOOKUP($AD63,AF!$B$39:$M$80,AE$9)*$O63</f>
        <v>0</v>
      </c>
      <c r="AF63" s="1">
        <f>VLOOKUP($AD63,AF!$B$39:$M$80,AF$9)*$P63</f>
        <v>0</v>
      </c>
      <c r="AG63" s="1">
        <f>VLOOKUP($AD63,AF!$B$39:$M$80,AG$9)*$Q63</f>
        <v>0</v>
      </c>
      <c r="AH63" s="1">
        <f>VLOOKUP($AD63,AF!$B$39:$M$80,AH$9)*$R63</f>
        <v>0</v>
      </c>
      <c r="AI63" s="1">
        <f>VLOOKUP($AD63,AF!$B$39:$M$80,AI$9)*$S63</f>
        <v>0</v>
      </c>
      <c r="AJ63" s="1">
        <f>VLOOKUP($AD63,AF!$B$39:$M$80,AJ$9)*$T63</f>
        <v>0</v>
      </c>
      <c r="AK63" s="1">
        <f>VLOOKUP($AD63,AF!$B$39:$M$80,AK$9)*$U63</f>
        <v>0</v>
      </c>
      <c r="AL63" s="1">
        <f>VLOOKUP($AD63,AF!$B$39:$M$80,AL$9)*$V63</f>
        <v>0</v>
      </c>
      <c r="AM63" s="1">
        <f t="shared" si="100"/>
        <v>0</v>
      </c>
      <c r="AO63" s="1">
        <f t="shared" si="101"/>
        <v>0</v>
      </c>
      <c r="AP63" s="1">
        <f t="shared" si="102"/>
        <v>0</v>
      </c>
      <c r="AQ63" s="1">
        <f t="shared" si="103"/>
        <v>0</v>
      </c>
      <c r="AR63" s="72">
        <f t="shared" si="104"/>
        <v>0</v>
      </c>
    </row>
    <row r="64" spans="1:44" x14ac:dyDescent="0.45">
      <c r="A64" s="118">
        <f t="shared" si="5"/>
        <v>56</v>
      </c>
      <c r="B64" s="57" t="s">
        <v>579</v>
      </c>
      <c r="C64" s="57" t="s">
        <v>580</v>
      </c>
      <c r="D64" s="34"/>
      <c r="E64" s="17">
        <f>SUM(G64:K64)</f>
        <v>0</v>
      </c>
      <c r="F64" s="8">
        <v>100</v>
      </c>
      <c r="G64" s="25">
        <v>0</v>
      </c>
      <c r="H64" s="25">
        <v>0</v>
      </c>
      <c r="I64" s="25">
        <v>0</v>
      </c>
      <c r="J64" s="25">
        <v>0</v>
      </c>
      <c r="K64" s="25">
        <v>0</v>
      </c>
      <c r="L64" s="72">
        <f t="shared" si="94"/>
        <v>0</v>
      </c>
      <c r="N64" s="8">
        <v>202</v>
      </c>
      <c r="O64" s="1">
        <f>VLOOKUP($N64,AF!$B$39:$M$80,O$9)*$G64</f>
        <v>0</v>
      </c>
      <c r="P64" s="1">
        <f>VLOOKUP($N64,AF!$B$39:$M$80,P$9)*$G64</f>
        <v>0</v>
      </c>
      <c r="Q64" s="1">
        <f>VLOOKUP($N64,AF!$B$39:$M$80,Q$9)*$H64</f>
        <v>0</v>
      </c>
      <c r="R64" s="1">
        <f>VLOOKUP($N64,AF!$B$39:$M$80,R$9)*$H64</f>
        <v>0</v>
      </c>
      <c r="S64" s="1">
        <f>VLOOKUP($N64,AF!$B$39:$M$80,S$9)*$I64</f>
        <v>0</v>
      </c>
      <c r="T64" s="1">
        <f>VLOOKUP($N64,AF!$B$39:$M$80,T$9)*$I64</f>
        <v>0</v>
      </c>
      <c r="U64" s="1">
        <f>VLOOKUP($N64,AF!$B$39:$M$80,U$9)*$J64</f>
        <v>0</v>
      </c>
      <c r="V64" s="1">
        <f>VLOOKUP($N64,AF!$B$39:$M$80,V$9)*$J64</f>
        <v>0</v>
      </c>
      <c r="W64" s="1">
        <f t="shared" si="95"/>
        <v>0</v>
      </c>
      <c r="Y64" s="1">
        <f t="shared" si="96"/>
        <v>0</v>
      </c>
      <c r="Z64" s="1">
        <f t="shared" si="97"/>
        <v>0</v>
      </c>
      <c r="AA64" s="1">
        <f t="shared" si="98"/>
        <v>0</v>
      </c>
      <c r="AB64" s="72">
        <f t="shared" si="99"/>
        <v>0</v>
      </c>
      <c r="AD64" s="72">
        <v>300</v>
      </c>
      <c r="AE64" s="1">
        <f>VLOOKUP($AD64,AF!$B$39:$M$80,AE$9)*$O64</f>
        <v>0</v>
      </c>
      <c r="AF64" s="1">
        <f>VLOOKUP($AD64,AF!$B$39:$M$80,AF$9)*$P64</f>
        <v>0</v>
      </c>
      <c r="AG64" s="1">
        <f>VLOOKUP($AD64,AF!$B$39:$M$80,AG$9)*$Q64</f>
        <v>0</v>
      </c>
      <c r="AH64" s="1">
        <f>VLOOKUP($AD64,AF!$B$39:$M$80,AH$9)*$R64</f>
        <v>0</v>
      </c>
      <c r="AI64" s="1">
        <f>VLOOKUP($AD64,AF!$B$39:$M$80,AI$9)*$S64</f>
        <v>0</v>
      </c>
      <c r="AJ64" s="1">
        <f>VLOOKUP($AD64,AF!$B$39:$M$80,AJ$9)*$T64</f>
        <v>0</v>
      </c>
      <c r="AK64" s="1">
        <f>VLOOKUP($AD64,AF!$B$39:$M$80,AK$9)*$U64</f>
        <v>0</v>
      </c>
      <c r="AL64" s="1">
        <f>VLOOKUP($AD64,AF!$B$39:$M$80,AL$9)*$V64</f>
        <v>0</v>
      </c>
      <c r="AM64" s="1">
        <f t="shared" si="100"/>
        <v>0</v>
      </c>
      <c r="AO64" s="1">
        <f t="shared" si="101"/>
        <v>0</v>
      </c>
      <c r="AP64" s="1">
        <f t="shared" si="102"/>
        <v>0</v>
      </c>
      <c r="AQ64" s="1">
        <f t="shared" si="103"/>
        <v>0</v>
      </c>
      <c r="AR64" s="72">
        <f t="shared" si="104"/>
        <v>0</v>
      </c>
    </row>
    <row r="65" spans="1:44" x14ac:dyDescent="0.45">
      <c r="A65" s="118">
        <f t="shared" si="5"/>
        <v>57</v>
      </c>
      <c r="B65" s="57">
        <v>561.20000000000005</v>
      </c>
      <c r="C65" s="34" t="s">
        <v>367</v>
      </c>
      <c r="D65" s="34" t="s">
        <v>375</v>
      </c>
      <c r="E65" s="25">
        <f>216118-E66</f>
        <v>146096.22</v>
      </c>
      <c r="F65" s="8">
        <v>102</v>
      </c>
      <c r="G65" s="1">
        <f>VLOOKUP($F65,AF!$B$39:$M$80,G$9)*$E65</f>
        <v>2511.6828653295129</v>
      </c>
      <c r="H65" s="1">
        <f>VLOOKUP($F65,AF!$B$39:$M$80,H$9)*$E65</f>
        <v>2093.069054441261</v>
      </c>
      <c r="I65" s="1">
        <f>VLOOKUP($F65,AF!$B$39:$M$80,I$9)*$E65</f>
        <v>7116.4347851002867</v>
      </c>
      <c r="J65" s="1">
        <f>VLOOKUP($F65,AF!$B$39:$M$80,J$9)*$E65</f>
        <v>0</v>
      </c>
      <c r="K65" s="1">
        <f t="shared" si="93"/>
        <v>134375.03329512893</v>
      </c>
      <c r="L65" s="72">
        <f t="shared" si="94"/>
        <v>0</v>
      </c>
      <c r="N65" s="8">
        <v>204</v>
      </c>
      <c r="O65" s="1">
        <f>VLOOKUP($N65,AF!$B$39:$M$80,O$9)*$G65</f>
        <v>418.61381088825215</v>
      </c>
      <c r="P65" s="1">
        <f>VLOOKUP($N65,AF!$B$39:$M$80,P$9)*$G65</f>
        <v>2093.069054441261</v>
      </c>
      <c r="Q65" s="1">
        <f>VLOOKUP($N65,AF!$B$39:$M$80,Q$9)*$H65</f>
        <v>2093.069054441261</v>
      </c>
      <c r="R65" s="1">
        <f>VLOOKUP($N65,AF!$B$39:$M$80,R$9)*$H65</f>
        <v>0</v>
      </c>
      <c r="S65" s="1">
        <f>VLOOKUP($N65,AF!$B$39:$M$80,S$9)*$I65</f>
        <v>7116.4347851002867</v>
      </c>
      <c r="T65" s="1">
        <f>VLOOKUP($N65,AF!$B$39:$M$80,T$9)*$I65</f>
        <v>0</v>
      </c>
      <c r="U65" s="1">
        <f>VLOOKUP($N65,AF!$B$39:$M$80,U$9)*$J65</f>
        <v>0</v>
      </c>
      <c r="V65" s="1">
        <f>VLOOKUP($N65,AF!$B$39:$M$80,V$9)*$J65</f>
        <v>0</v>
      </c>
      <c r="W65" s="1">
        <f t="shared" si="95"/>
        <v>134375.03329512893</v>
      </c>
      <c r="Y65" s="1">
        <f t="shared" si="96"/>
        <v>9628.1176504298001</v>
      </c>
      <c r="Z65" s="1">
        <f t="shared" si="97"/>
        <v>2093.069054441261</v>
      </c>
      <c r="AA65" s="1">
        <f t="shared" si="98"/>
        <v>146096.22</v>
      </c>
      <c r="AB65" s="72">
        <f t="shared" si="99"/>
        <v>0</v>
      </c>
      <c r="AD65" s="72">
        <v>300</v>
      </c>
      <c r="AE65" s="1">
        <f>VLOOKUP($AD65,AF!$B$39:$M$80,AE$9)*$O65</f>
        <v>418.61381088825215</v>
      </c>
      <c r="AF65" s="1">
        <f>VLOOKUP($AD65,AF!$B$39:$M$80,AF$9)*$P65</f>
        <v>2093.069054441261</v>
      </c>
      <c r="AG65" s="1">
        <f>VLOOKUP($AD65,AF!$B$39:$M$80,AG$9)*$Q65</f>
        <v>2093.069054441261</v>
      </c>
      <c r="AH65" s="1">
        <f>VLOOKUP($AD65,AF!$B$39:$M$80,AH$9)*$R65</f>
        <v>0</v>
      </c>
      <c r="AI65" s="1">
        <f>VLOOKUP($AD65,AF!$B$39:$M$80,AI$9)*$S65</f>
        <v>7116.4347851002867</v>
      </c>
      <c r="AJ65" s="1">
        <f>VLOOKUP($AD65,AF!$B$39:$M$80,AJ$9)*$T65</f>
        <v>0</v>
      </c>
      <c r="AK65" s="1">
        <f>VLOOKUP($AD65,AF!$B$39:$M$80,AK$9)*$U65</f>
        <v>0</v>
      </c>
      <c r="AL65" s="1">
        <f>VLOOKUP($AD65,AF!$B$39:$M$80,AL$9)*$V65</f>
        <v>0</v>
      </c>
      <c r="AM65" s="1">
        <f t="shared" si="100"/>
        <v>134375.03329512893</v>
      </c>
      <c r="AO65" s="1">
        <f t="shared" si="101"/>
        <v>9628.1176504298001</v>
      </c>
      <c r="AP65" s="1">
        <f t="shared" si="102"/>
        <v>2093.069054441261</v>
      </c>
      <c r="AQ65" s="1">
        <f t="shared" si="103"/>
        <v>146096.22</v>
      </c>
      <c r="AR65" s="72">
        <f t="shared" si="104"/>
        <v>0</v>
      </c>
    </row>
    <row r="66" spans="1:44" x14ac:dyDescent="0.45">
      <c r="A66" s="118">
        <f t="shared" si="5"/>
        <v>58</v>
      </c>
      <c r="B66" s="57" t="s">
        <v>581</v>
      </c>
      <c r="C66" s="57" t="s">
        <v>582</v>
      </c>
      <c r="D66" s="34"/>
      <c r="E66" s="17">
        <f>SUM(G66:K66)</f>
        <v>70021.78</v>
      </c>
      <c r="F66" s="8">
        <v>100</v>
      </c>
      <c r="G66" s="25">
        <v>0</v>
      </c>
      <c r="H66" s="25">
        <v>0</v>
      </c>
      <c r="I66" s="25">
        <v>70021.78</v>
      </c>
      <c r="J66" s="25">
        <v>0</v>
      </c>
      <c r="K66" s="25">
        <v>0</v>
      </c>
      <c r="L66" s="72">
        <f t="shared" si="94"/>
        <v>0</v>
      </c>
      <c r="N66" s="8">
        <v>202</v>
      </c>
      <c r="O66" s="1">
        <f>VLOOKUP($N66,AF!$B$39:$M$80,O$9)*$G66</f>
        <v>0</v>
      </c>
      <c r="P66" s="1">
        <f>VLOOKUP($N66,AF!$B$39:$M$80,P$9)*$G66</f>
        <v>0</v>
      </c>
      <c r="Q66" s="1">
        <f>VLOOKUP($N66,AF!$B$39:$M$80,Q$9)*$H66</f>
        <v>0</v>
      </c>
      <c r="R66" s="1">
        <f>VLOOKUP($N66,AF!$B$39:$M$80,R$9)*$H66</f>
        <v>0</v>
      </c>
      <c r="S66" s="1">
        <f>VLOOKUP($N66,AF!$B$39:$M$80,S$9)*$I66</f>
        <v>70021.78</v>
      </c>
      <c r="T66" s="1">
        <f>VLOOKUP($N66,AF!$B$39:$M$80,T$9)*$I66</f>
        <v>0</v>
      </c>
      <c r="U66" s="1">
        <f>VLOOKUP($N66,AF!$B$39:$M$80,U$9)*$J66</f>
        <v>0</v>
      </c>
      <c r="V66" s="1">
        <f>VLOOKUP($N66,AF!$B$39:$M$80,V$9)*$J66</f>
        <v>0</v>
      </c>
      <c r="W66" s="1">
        <f t="shared" si="95"/>
        <v>0</v>
      </c>
      <c r="Y66" s="1">
        <f t="shared" si="96"/>
        <v>70021.78</v>
      </c>
      <c r="Z66" s="1">
        <f t="shared" si="97"/>
        <v>0</v>
      </c>
      <c r="AA66" s="1">
        <f t="shared" si="98"/>
        <v>70021.78</v>
      </c>
      <c r="AB66" s="72">
        <f t="shared" si="99"/>
        <v>0</v>
      </c>
      <c r="AD66" s="72">
        <v>300</v>
      </c>
      <c r="AE66" s="1">
        <f>VLOOKUP($AD66,AF!$B$39:$M$80,AE$9)*$O66</f>
        <v>0</v>
      </c>
      <c r="AF66" s="1">
        <f>VLOOKUP($AD66,AF!$B$39:$M$80,AF$9)*$P66</f>
        <v>0</v>
      </c>
      <c r="AG66" s="1">
        <f>VLOOKUP($AD66,AF!$B$39:$M$80,AG$9)*$Q66</f>
        <v>0</v>
      </c>
      <c r="AH66" s="1">
        <f>VLOOKUP($AD66,AF!$B$39:$M$80,AH$9)*$R66</f>
        <v>0</v>
      </c>
      <c r="AI66" s="1">
        <f>VLOOKUP($AD66,AF!$B$39:$M$80,AI$9)*$S66</f>
        <v>70021.78</v>
      </c>
      <c r="AJ66" s="1">
        <f>VLOOKUP($AD66,AF!$B$39:$M$80,AJ$9)*$T66</f>
        <v>0</v>
      </c>
      <c r="AK66" s="1">
        <f>VLOOKUP($AD66,AF!$B$39:$M$80,AK$9)*$U66</f>
        <v>0</v>
      </c>
      <c r="AL66" s="1">
        <f>VLOOKUP($AD66,AF!$B$39:$M$80,AL$9)*$V66</f>
        <v>0</v>
      </c>
      <c r="AM66" s="1">
        <f t="shared" si="100"/>
        <v>0</v>
      </c>
      <c r="AO66" s="1">
        <f t="shared" si="101"/>
        <v>70021.78</v>
      </c>
      <c r="AP66" s="1">
        <f t="shared" si="102"/>
        <v>0</v>
      </c>
      <c r="AQ66" s="1">
        <f t="shared" si="103"/>
        <v>70021.78</v>
      </c>
      <c r="AR66" s="72">
        <f t="shared" si="104"/>
        <v>0</v>
      </c>
    </row>
    <row r="67" spans="1:44" x14ac:dyDescent="0.45">
      <c r="A67" s="118">
        <f t="shared" si="5"/>
        <v>59</v>
      </c>
      <c r="B67" s="57">
        <v>561.29999999999995</v>
      </c>
      <c r="C67" s="34" t="s">
        <v>368</v>
      </c>
      <c r="D67" s="34" t="s">
        <v>376</v>
      </c>
      <c r="E67" s="25">
        <v>0</v>
      </c>
      <c r="F67" s="8">
        <v>101</v>
      </c>
      <c r="G67" s="1">
        <f>VLOOKUP($F67,AF!$B$39:$M$80,G$9)*$E67</f>
        <v>0</v>
      </c>
      <c r="H67" s="1">
        <f>VLOOKUP($F67,AF!$B$39:$M$80,H$9)*$E67</f>
        <v>0</v>
      </c>
      <c r="I67" s="1">
        <f>VLOOKUP($F67,AF!$B$39:$M$80,I$9)*$E67</f>
        <v>0</v>
      </c>
      <c r="J67" s="1">
        <f>VLOOKUP($F67,AF!$B$39:$M$80,J$9)*$E67</f>
        <v>0</v>
      </c>
      <c r="K67" s="1">
        <f t="shared" si="93"/>
        <v>0</v>
      </c>
      <c r="L67" s="72">
        <f t="shared" si="94"/>
        <v>0</v>
      </c>
      <c r="N67" s="8">
        <v>206</v>
      </c>
      <c r="O67" s="1">
        <f>VLOOKUP($N67,AF!$B$39:$M$80,O$9)*$G67</f>
        <v>0</v>
      </c>
      <c r="P67" s="1">
        <f>VLOOKUP($N67,AF!$B$39:$M$80,P$9)*$G67</f>
        <v>0</v>
      </c>
      <c r="Q67" s="1">
        <f>VLOOKUP($N67,AF!$B$39:$M$80,Q$9)*$H67</f>
        <v>0</v>
      </c>
      <c r="R67" s="1">
        <f>VLOOKUP($N67,AF!$B$39:$M$80,R$9)*$H67</f>
        <v>0</v>
      </c>
      <c r="S67" s="1">
        <f>VLOOKUP($N67,AF!$B$39:$M$80,S$9)*$I67</f>
        <v>0</v>
      </c>
      <c r="T67" s="1">
        <f>VLOOKUP($N67,AF!$B$39:$M$80,T$9)*$I67</f>
        <v>0</v>
      </c>
      <c r="U67" s="1">
        <f>VLOOKUP($N67,AF!$B$39:$M$80,U$9)*$J67</f>
        <v>0</v>
      </c>
      <c r="V67" s="1">
        <f>VLOOKUP($N67,AF!$B$39:$M$80,V$9)*$J67</f>
        <v>0</v>
      </c>
      <c r="W67" s="1">
        <f t="shared" si="95"/>
        <v>0</v>
      </c>
      <c r="Y67" s="1">
        <f t="shared" si="96"/>
        <v>0</v>
      </c>
      <c r="Z67" s="1">
        <f t="shared" si="97"/>
        <v>0</v>
      </c>
      <c r="AA67" s="1">
        <f t="shared" si="98"/>
        <v>0</v>
      </c>
      <c r="AB67" s="72">
        <f t="shared" si="99"/>
        <v>0</v>
      </c>
      <c r="AD67" s="72">
        <v>300</v>
      </c>
      <c r="AE67" s="1">
        <f>VLOOKUP($AD67,AF!$B$39:$M$80,AE$9)*$O67</f>
        <v>0</v>
      </c>
      <c r="AF67" s="1">
        <f>VLOOKUP($AD67,AF!$B$39:$M$80,AF$9)*$P67</f>
        <v>0</v>
      </c>
      <c r="AG67" s="1">
        <f>VLOOKUP($AD67,AF!$B$39:$M$80,AG$9)*$Q67</f>
        <v>0</v>
      </c>
      <c r="AH67" s="1">
        <f>VLOOKUP($AD67,AF!$B$39:$M$80,AH$9)*$R67</f>
        <v>0</v>
      </c>
      <c r="AI67" s="1">
        <f>VLOOKUP($AD67,AF!$B$39:$M$80,AI$9)*$S67</f>
        <v>0</v>
      </c>
      <c r="AJ67" s="1">
        <f>VLOOKUP($AD67,AF!$B$39:$M$80,AJ$9)*$T67</f>
        <v>0</v>
      </c>
      <c r="AK67" s="1">
        <f>VLOOKUP($AD67,AF!$B$39:$M$80,AK$9)*$U67</f>
        <v>0</v>
      </c>
      <c r="AL67" s="1">
        <f>VLOOKUP($AD67,AF!$B$39:$M$80,AL$9)*$V67</f>
        <v>0</v>
      </c>
      <c r="AM67" s="1">
        <f t="shared" si="100"/>
        <v>0</v>
      </c>
      <c r="AO67" s="1">
        <f t="shared" si="101"/>
        <v>0</v>
      </c>
      <c r="AP67" s="1">
        <f t="shared" si="102"/>
        <v>0</v>
      </c>
      <c r="AQ67" s="1">
        <f t="shared" si="103"/>
        <v>0</v>
      </c>
      <c r="AR67" s="72">
        <f t="shared" si="104"/>
        <v>0</v>
      </c>
    </row>
    <row r="68" spans="1:44" x14ac:dyDescent="0.45">
      <c r="A68" s="118">
        <f t="shared" si="5"/>
        <v>60</v>
      </c>
      <c r="B68" s="57" t="s">
        <v>583</v>
      </c>
      <c r="C68" s="57" t="s">
        <v>584</v>
      </c>
      <c r="D68" s="34"/>
      <c r="E68" s="17">
        <f>SUM(G68:K68)</f>
        <v>0</v>
      </c>
      <c r="F68" s="8">
        <v>100</v>
      </c>
      <c r="G68" s="25">
        <v>0</v>
      </c>
      <c r="H68" s="25">
        <v>0</v>
      </c>
      <c r="I68" s="25">
        <v>0</v>
      </c>
      <c r="J68" s="25">
        <v>0</v>
      </c>
      <c r="K68" s="25">
        <v>0</v>
      </c>
      <c r="L68" s="72">
        <f t="shared" si="94"/>
        <v>0</v>
      </c>
      <c r="N68" s="8">
        <v>202</v>
      </c>
      <c r="O68" s="1">
        <f>VLOOKUP($N68,AF!$B$39:$M$80,O$9)*$G68</f>
        <v>0</v>
      </c>
      <c r="P68" s="1">
        <f>VLOOKUP($N68,AF!$B$39:$M$80,P$9)*$G68</f>
        <v>0</v>
      </c>
      <c r="Q68" s="1">
        <f>VLOOKUP($N68,AF!$B$39:$M$80,Q$9)*$H68</f>
        <v>0</v>
      </c>
      <c r="R68" s="1">
        <f>VLOOKUP($N68,AF!$B$39:$M$80,R$9)*$H68</f>
        <v>0</v>
      </c>
      <c r="S68" s="1">
        <f>VLOOKUP($N68,AF!$B$39:$M$80,S$9)*$I68</f>
        <v>0</v>
      </c>
      <c r="T68" s="1">
        <f>VLOOKUP($N68,AF!$B$39:$M$80,T$9)*$I68</f>
        <v>0</v>
      </c>
      <c r="U68" s="1">
        <f>VLOOKUP($N68,AF!$B$39:$M$80,U$9)*$J68</f>
        <v>0</v>
      </c>
      <c r="V68" s="1">
        <f>VLOOKUP($N68,AF!$B$39:$M$80,V$9)*$J68</f>
        <v>0</v>
      </c>
      <c r="W68" s="1">
        <f t="shared" si="95"/>
        <v>0</v>
      </c>
      <c r="Y68" s="1">
        <f t="shared" si="96"/>
        <v>0</v>
      </c>
      <c r="Z68" s="1">
        <f t="shared" si="97"/>
        <v>0</v>
      </c>
      <c r="AA68" s="1">
        <f t="shared" si="98"/>
        <v>0</v>
      </c>
      <c r="AB68" s="72">
        <f t="shared" si="99"/>
        <v>0</v>
      </c>
      <c r="AD68" s="72">
        <v>300</v>
      </c>
      <c r="AE68" s="1">
        <f>VLOOKUP($AD68,AF!$B$39:$M$80,AE$9)*$O68</f>
        <v>0</v>
      </c>
      <c r="AF68" s="1">
        <f>VLOOKUP($AD68,AF!$B$39:$M$80,AF$9)*$P68</f>
        <v>0</v>
      </c>
      <c r="AG68" s="1">
        <f>VLOOKUP($AD68,AF!$B$39:$M$80,AG$9)*$Q68</f>
        <v>0</v>
      </c>
      <c r="AH68" s="1">
        <f>VLOOKUP($AD68,AF!$B$39:$M$80,AH$9)*$R68</f>
        <v>0</v>
      </c>
      <c r="AI68" s="1">
        <f>VLOOKUP($AD68,AF!$B$39:$M$80,AI$9)*$S68</f>
        <v>0</v>
      </c>
      <c r="AJ68" s="1">
        <f>VLOOKUP($AD68,AF!$B$39:$M$80,AJ$9)*$T68</f>
        <v>0</v>
      </c>
      <c r="AK68" s="1">
        <f>VLOOKUP($AD68,AF!$B$39:$M$80,AK$9)*$U68</f>
        <v>0</v>
      </c>
      <c r="AL68" s="1">
        <f>VLOOKUP($AD68,AF!$B$39:$M$80,AL$9)*$V68</f>
        <v>0</v>
      </c>
      <c r="AM68" s="1">
        <f t="shared" si="100"/>
        <v>0</v>
      </c>
      <c r="AO68" s="1">
        <f t="shared" si="101"/>
        <v>0</v>
      </c>
      <c r="AP68" s="1">
        <f t="shared" si="102"/>
        <v>0</v>
      </c>
      <c r="AQ68" s="1">
        <f t="shared" si="103"/>
        <v>0</v>
      </c>
      <c r="AR68" s="72">
        <f t="shared" si="104"/>
        <v>0</v>
      </c>
    </row>
    <row r="69" spans="1:44" x14ac:dyDescent="0.45">
      <c r="A69" s="118">
        <f t="shared" si="5"/>
        <v>61</v>
      </c>
      <c r="B69" s="57">
        <v>561.4</v>
      </c>
      <c r="C69" s="34" t="s">
        <v>369</v>
      </c>
      <c r="D69" s="34" t="s">
        <v>377</v>
      </c>
      <c r="E69" s="25">
        <v>0</v>
      </c>
      <c r="F69" s="8">
        <v>101</v>
      </c>
      <c r="G69" s="1">
        <f>VLOOKUP($F69,AF!$B$39:$M$80,G$9)*$E69</f>
        <v>0</v>
      </c>
      <c r="H69" s="1">
        <f>VLOOKUP($F69,AF!$B$39:$M$80,H$9)*$E69</f>
        <v>0</v>
      </c>
      <c r="I69" s="1">
        <f>VLOOKUP($F69,AF!$B$39:$M$80,I$9)*$E69</f>
        <v>0</v>
      </c>
      <c r="J69" s="1">
        <f>VLOOKUP($F69,AF!$B$39:$M$80,J$9)*$E69</f>
        <v>0</v>
      </c>
      <c r="K69" s="1">
        <f t="shared" si="93"/>
        <v>0</v>
      </c>
      <c r="L69" s="72">
        <f t="shared" si="94"/>
        <v>0</v>
      </c>
      <c r="N69" s="8">
        <v>206</v>
      </c>
      <c r="O69" s="1">
        <f>VLOOKUP($N69,AF!$B$39:$M$80,O$9)*$G69</f>
        <v>0</v>
      </c>
      <c r="P69" s="1">
        <f>VLOOKUP($N69,AF!$B$39:$M$80,P$9)*$G69</f>
        <v>0</v>
      </c>
      <c r="Q69" s="1">
        <f>VLOOKUP($N69,AF!$B$39:$M$80,Q$9)*$H69</f>
        <v>0</v>
      </c>
      <c r="R69" s="1">
        <f>VLOOKUP($N69,AF!$B$39:$M$80,R$9)*$H69</f>
        <v>0</v>
      </c>
      <c r="S69" s="1">
        <f>VLOOKUP($N69,AF!$B$39:$M$80,S$9)*$I69</f>
        <v>0</v>
      </c>
      <c r="T69" s="1">
        <f>VLOOKUP($N69,AF!$B$39:$M$80,T$9)*$I69</f>
        <v>0</v>
      </c>
      <c r="U69" s="1">
        <f>VLOOKUP($N69,AF!$B$39:$M$80,U$9)*$J69</f>
        <v>0</v>
      </c>
      <c r="V69" s="1">
        <f>VLOOKUP($N69,AF!$B$39:$M$80,V$9)*$J69</f>
        <v>0</v>
      </c>
      <c r="W69" s="1">
        <f t="shared" si="95"/>
        <v>0</v>
      </c>
      <c r="Y69" s="1">
        <f t="shared" si="96"/>
        <v>0</v>
      </c>
      <c r="Z69" s="1">
        <f t="shared" si="97"/>
        <v>0</v>
      </c>
      <c r="AA69" s="1">
        <f t="shared" si="98"/>
        <v>0</v>
      </c>
      <c r="AB69" s="72">
        <f t="shared" si="99"/>
        <v>0</v>
      </c>
      <c r="AD69" s="72">
        <v>300</v>
      </c>
      <c r="AE69" s="1">
        <f>VLOOKUP($AD69,AF!$B$39:$M$80,AE$9)*$O69</f>
        <v>0</v>
      </c>
      <c r="AF69" s="1">
        <f>VLOOKUP($AD69,AF!$B$39:$M$80,AF$9)*$P69</f>
        <v>0</v>
      </c>
      <c r="AG69" s="1">
        <f>VLOOKUP($AD69,AF!$B$39:$M$80,AG$9)*$Q69</f>
        <v>0</v>
      </c>
      <c r="AH69" s="1">
        <f>VLOOKUP($AD69,AF!$B$39:$M$80,AH$9)*$R69</f>
        <v>0</v>
      </c>
      <c r="AI69" s="1">
        <f>VLOOKUP($AD69,AF!$B$39:$M$80,AI$9)*$S69</f>
        <v>0</v>
      </c>
      <c r="AJ69" s="1">
        <f>VLOOKUP($AD69,AF!$B$39:$M$80,AJ$9)*$T69</f>
        <v>0</v>
      </c>
      <c r="AK69" s="1">
        <f>VLOOKUP($AD69,AF!$B$39:$M$80,AK$9)*$U69</f>
        <v>0</v>
      </c>
      <c r="AL69" s="1">
        <f>VLOOKUP($AD69,AF!$B$39:$M$80,AL$9)*$V69</f>
        <v>0</v>
      </c>
      <c r="AM69" s="1">
        <f t="shared" si="100"/>
        <v>0</v>
      </c>
      <c r="AO69" s="1">
        <f t="shared" si="101"/>
        <v>0</v>
      </c>
      <c r="AP69" s="1">
        <f t="shared" si="102"/>
        <v>0</v>
      </c>
      <c r="AQ69" s="1">
        <f t="shared" si="103"/>
        <v>0</v>
      </c>
      <c r="AR69" s="72">
        <f t="shared" si="104"/>
        <v>0</v>
      </c>
    </row>
    <row r="70" spans="1:44" x14ac:dyDescent="0.45">
      <c r="A70" s="118">
        <f t="shared" si="5"/>
        <v>62</v>
      </c>
      <c r="B70" s="57" t="s">
        <v>585</v>
      </c>
      <c r="C70" s="57" t="s">
        <v>586</v>
      </c>
      <c r="D70" s="34"/>
      <c r="E70" s="17">
        <f>SUM(G70:K70)</f>
        <v>0</v>
      </c>
      <c r="F70" s="8">
        <v>100</v>
      </c>
      <c r="G70" s="25">
        <v>0</v>
      </c>
      <c r="H70" s="25">
        <v>0</v>
      </c>
      <c r="I70" s="25">
        <v>0</v>
      </c>
      <c r="J70" s="25">
        <v>0</v>
      </c>
      <c r="K70" s="25">
        <v>0</v>
      </c>
      <c r="L70" s="72">
        <f t="shared" si="94"/>
        <v>0</v>
      </c>
      <c r="N70" s="8">
        <v>202</v>
      </c>
      <c r="O70" s="1">
        <f>VLOOKUP($N70,AF!$B$39:$M$80,O$9)*$G70</f>
        <v>0</v>
      </c>
      <c r="P70" s="1">
        <f>VLOOKUP($N70,AF!$B$39:$M$80,P$9)*$G70</f>
        <v>0</v>
      </c>
      <c r="Q70" s="1">
        <f>VLOOKUP($N70,AF!$B$39:$M$80,Q$9)*$H70</f>
        <v>0</v>
      </c>
      <c r="R70" s="1">
        <f>VLOOKUP($N70,AF!$B$39:$M$80,R$9)*$H70</f>
        <v>0</v>
      </c>
      <c r="S70" s="1">
        <f>VLOOKUP($N70,AF!$B$39:$M$80,S$9)*$I70</f>
        <v>0</v>
      </c>
      <c r="T70" s="1">
        <f>VLOOKUP($N70,AF!$B$39:$M$80,T$9)*$I70</f>
        <v>0</v>
      </c>
      <c r="U70" s="1">
        <f>VLOOKUP($N70,AF!$B$39:$M$80,U$9)*$J70</f>
        <v>0</v>
      </c>
      <c r="V70" s="1">
        <f>VLOOKUP($N70,AF!$B$39:$M$80,V$9)*$J70</f>
        <v>0</v>
      </c>
      <c r="W70" s="1">
        <f t="shared" si="95"/>
        <v>0</v>
      </c>
      <c r="Y70" s="1">
        <f t="shared" si="96"/>
        <v>0</v>
      </c>
      <c r="Z70" s="1">
        <f t="shared" si="97"/>
        <v>0</v>
      </c>
      <c r="AA70" s="1">
        <f t="shared" si="98"/>
        <v>0</v>
      </c>
      <c r="AB70" s="72">
        <f t="shared" si="99"/>
        <v>0</v>
      </c>
      <c r="AD70" s="72">
        <v>300</v>
      </c>
      <c r="AE70" s="1">
        <f>VLOOKUP($AD70,AF!$B$39:$M$80,AE$9)*$O70</f>
        <v>0</v>
      </c>
      <c r="AF70" s="1">
        <f>VLOOKUP($AD70,AF!$B$39:$M$80,AF$9)*$P70</f>
        <v>0</v>
      </c>
      <c r="AG70" s="1">
        <f>VLOOKUP($AD70,AF!$B$39:$M$80,AG$9)*$Q70</f>
        <v>0</v>
      </c>
      <c r="AH70" s="1">
        <f>VLOOKUP($AD70,AF!$B$39:$M$80,AH$9)*$R70</f>
        <v>0</v>
      </c>
      <c r="AI70" s="1">
        <f>VLOOKUP($AD70,AF!$B$39:$M$80,AI$9)*$S70</f>
        <v>0</v>
      </c>
      <c r="AJ70" s="1">
        <f>VLOOKUP($AD70,AF!$B$39:$M$80,AJ$9)*$T70</f>
        <v>0</v>
      </c>
      <c r="AK70" s="1">
        <f>VLOOKUP($AD70,AF!$B$39:$M$80,AK$9)*$U70</f>
        <v>0</v>
      </c>
      <c r="AL70" s="1">
        <f>VLOOKUP($AD70,AF!$B$39:$M$80,AL$9)*$V70</f>
        <v>0</v>
      </c>
      <c r="AM70" s="1">
        <f t="shared" si="100"/>
        <v>0</v>
      </c>
      <c r="AO70" s="1">
        <f t="shared" si="101"/>
        <v>0</v>
      </c>
      <c r="AP70" s="1">
        <f t="shared" si="102"/>
        <v>0</v>
      </c>
      <c r="AQ70" s="1">
        <f t="shared" si="103"/>
        <v>0</v>
      </c>
      <c r="AR70" s="72">
        <f t="shared" si="104"/>
        <v>0</v>
      </c>
    </row>
    <row r="71" spans="1:44" x14ac:dyDescent="0.45">
      <c r="A71" s="118">
        <f t="shared" si="5"/>
        <v>63</v>
      </c>
      <c r="B71" s="57">
        <v>561.5</v>
      </c>
      <c r="C71" s="34" t="s">
        <v>370</v>
      </c>
      <c r="D71" s="34" t="s">
        <v>378</v>
      </c>
      <c r="E71" s="25">
        <v>77414</v>
      </c>
      <c r="F71" s="8">
        <v>101</v>
      </c>
      <c r="G71" s="1">
        <f>VLOOKUP($F71,AF!$B$39:$M$80,G$9)*$E71</f>
        <v>0</v>
      </c>
      <c r="H71" s="1">
        <f>VLOOKUP($F71,AF!$B$39:$M$80,H$9)*$E71</f>
        <v>0</v>
      </c>
      <c r="I71" s="1">
        <f>VLOOKUP($F71,AF!$B$39:$M$80,I$9)*$E71</f>
        <v>0</v>
      </c>
      <c r="J71" s="1">
        <f>VLOOKUP($F71,AF!$B$39:$M$80,J$9)*$E71</f>
        <v>0</v>
      </c>
      <c r="K71" s="1">
        <f t="shared" si="93"/>
        <v>77414</v>
      </c>
      <c r="L71" s="72">
        <f t="shared" si="94"/>
        <v>0</v>
      </c>
      <c r="N71" s="8">
        <v>206</v>
      </c>
      <c r="O71" s="1">
        <f>VLOOKUP($N71,AF!$B$39:$M$80,O$9)*$G71</f>
        <v>0</v>
      </c>
      <c r="P71" s="1">
        <f>VLOOKUP($N71,AF!$B$39:$M$80,P$9)*$G71</f>
        <v>0</v>
      </c>
      <c r="Q71" s="1">
        <f>VLOOKUP($N71,AF!$B$39:$M$80,Q$9)*$H71</f>
        <v>0</v>
      </c>
      <c r="R71" s="1">
        <f>VLOOKUP($N71,AF!$B$39:$M$80,R$9)*$H71</f>
        <v>0</v>
      </c>
      <c r="S71" s="1">
        <f>VLOOKUP($N71,AF!$B$39:$M$80,S$9)*$I71</f>
        <v>0</v>
      </c>
      <c r="T71" s="1">
        <f>VLOOKUP($N71,AF!$B$39:$M$80,T$9)*$I71</f>
        <v>0</v>
      </c>
      <c r="U71" s="1">
        <f>VLOOKUP($N71,AF!$B$39:$M$80,U$9)*$J71</f>
        <v>0</v>
      </c>
      <c r="V71" s="1">
        <f>VLOOKUP($N71,AF!$B$39:$M$80,V$9)*$J71</f>
        <v>0</v>
      </c>
      <c r="W71" s="1">
        <f t="shared" si="95"/>
        <v>77414</v>
      </c>
      <c r="Y71" s="1">
        <f t="shared" si="96"/>
        <v>0</v>
      </c>
      <c r="Z71" s="1">
        <f t="shared" si="97"/>
        <v>0</v>
      </c>
      <c r="AA71" s="1">
        <f t="shared" si="98"/>
        <v>77414</v>
      </c>
      <c r="AB71" s="72">
        <f t="shared" si="99"/>
        <v>0</v>
      </c>
      <c r="AD71" s="72">
        <v>300</v>
      </c>
      <c r="AE71" s="1">
        <f>VLOOKUP($AD71,AF!$B$39:$M$80,AE$9)*$O71</f>
        <v>0</v>
      </c>
      <c r="AF71" s="1">
        <f>VLOOKUP($AD71,AF!$B$39:$M$80,AF$9)*$P71</f>
        <v>0</v>
      </c>
      <c r="AG71" s="1">
        <f>VLOOKUP($AD71,AF!$B$39:$M$80,AG$9)*$Q71</f>
        <v>0</v>
      </c>
      <c r="AH71" s="1">
        <f>VLOOKUP($AD71,AF!$B$39:$M$80,AH$9)*$R71</f>
        <v>0</v>
      </c>
      <c r="AI71" s="1">
        <f>VLOOKUP($AD71,AF!$B$39:$M$80,AI$9)*$S71</f>
        <v>0</v>
      </c>
      <c r="AJ71" s="1">
        <f>VLOOKUP($AD71,AF!$B$39:$M$80,AJ$9)*$T71</f>
        <v>0</v>
      </c>
      <c r="AK71" s="1">
        <f>VLOOKUP($AD71,AF!$B$39:$M$80,AK$9)*$U71</f>
        <v>0</v>
      </c>
      <c r="AL71" s="1">
        <f>VLOOKUP($AD71,AF!$B$39:$M$80,AL$9)*$V71</f>
        <v>0</v>
      </c>
      <c r="AM71" s="1">
        <f t="shared" si="100"/>
        <v>77414</v>
      </c>
      <c r="AO71" s="1">
        <f t="shared" si="101"/>
        <v>0</v>
      </c>
      <c r="AP71" s="1">
        <f t="shared" si="102"/>
        <v>0</v>
      </c>
      <c r="AQ71" s="1">
        <f t="shared" si="103"/>
        <v>77414</v>
      </c>
      <c r="AR71" s="72">
        <f t="shared" si="104"/>
        <v>0</v>
      </c>
    </row>
    <row r="72" spans="1:44" x14ac:dyDescent="0.45">
      <c r="A72" s="118">
        <f t="shared" si="5"/>
        <v>64</v>
      </c>
      <c r="B72" s="57" t="s">
        <v>587</v>
      </c>
      <c r="C72" s="57" t="s">
        <v>588</v>
      </c>
      <c r="D72" s="34"/>
      <c r="E72" s="17">
        <f>SUM(G72:K72)</f>
        <v>0</v>
      </c>
      <c r="F72" s="8">
        <v>100</v>
      </c>
      <c r="G72" s="25">
        <v>0</v>
      </c>
      <c r="H72" s="25">
        <v>0</v>
      </c>
      <c r="I72" s="25">
        <v>0</v>
      </c>
      <c r="J72" s="25">
        <v>0</v>
      </c>
      <c r="K72" s="25">
        <v>0</v>
      </c>
      <c r="L72" s="72">
        <f t="shared" si="94"/>
        <v>0</v>
      </c>
      <c r="N72" s="8">
        <v>202</v>
      </c>
      <c r="O72" s="1">
        <f>VLOOKUP($N72,AF!$B$39:$M$80,O$9)*$G72</f>
        <v>0</v>
      </c>
      <c r="P72" s="1">
        <f>VLOOKUP($N72,AF!$B$39:$M$80,P$9)*$G72</f>
        <v>0</v>
      </c>
      <c r="Q72" s="1">
        <f>VLOOKUP($N72,AF!$B$39:$M$80,Q$9)*$H72</f>
        <v>0</v>
      </c>
      <c r="R72" s="1">
        <f>VLOOKUP($N72,AF!$B$39:$M$80,R$9)*$H72</f>
        <v>0</v>
      </c>
      <c r="S72" s="1">
        <f>VLOOKUP($N72,AF!$B$39:$M$80,S$9)*$I72</f>
        <v>0</v>
      </c>
      <c r="T72" s="1">
        <f>VLOOKUP($N72,AF!$B$39:$M$80,T$9)*$I72</f>
        <v>0</v>
      </c>
      <c r="U72" s="1">
        <f>VLOOKUP($N72,AF!$B$39:$M$80,U$9)*$J72</f>
        <v>0</v>
      </c>
      <c r="V72" s="1">
        <f>VLOOKUP($N72,AF!$B$39:$M$80,V$9)*$J72</f>
        <v>0</v>
      </c>
      <c r="W72" s="1">
        <f t="shared" si="95"/>
        <v>0</v>
      </c>
      <c r="Y72" s="1">
        <f t="shared" si="96"/>
        <v>0</v>
      </c>
      <c r="Z72" s="1">
        <f t="shared" si="97"/>
        <v>0</v>
      </c>
      <c r="AA72" s="1">
        <f t="shared" si="98"/>
        <v>0</v>
      </c>
      <c r="AB72" s="72">
        <f t="shared" si="99"/>
        <v>0</v>
      </c>
      <c r="AD72" s="72">
        <v>300</v>
      </c>
      <c r="AE72" s="1">
        <f>VLOOKUP($AD72,AF!$B$39:$M$80,AE$9)*$O72</f>
        <v>0</v>
      </c>
      <c r="AF72" s="1">
        <f>VLOOKUP($AD72,AF!$B$39:$M$80,AF$9)*$P72</f>
        <v>0</v>
      </c>
      <c r="AG72" s="1">
        <f>VLOOKUP($AD72,AF!$B$39:$M$80,AG$9)*$Q72</f>
        <v>0</v>
      </c>
      <c r="AH72" s="1">
        <f>VLOOKUP($AD72,AF!$B$39:$M$80,AH$9)*$R72</f>
        <v>0</v>
      </c>
      <c r="AI72" s="1">
        <f>VLOOKUP($AD72,AF!$B$39:$M$80,AI$9)*$S72</f>
        <v>0</v>
      </c>
      <c r="AJ72" s="1">
        <f>VLOOKUP($AD72,AF!$B$39:$M$80,AJ$9)*$T72</f>
        <v>0</v>
      </c>
      <c r="AK72" s="1">
        <f>VLOOKUP($AD72,AF!$B$39:$M$80,AK$9)*$U72</f>
        <v>0</v>
      </c>
      <c r="AL72" s="1">
        <f>VLOOKUP($AD72,AF!$B$39:$M$80,AL$9)*$V72</f>
        <v>0</v>
      </c>
      <c r="AM72" s="1">
        <f t="shared" si="100"/>
        <v>0</v>
      </c>
      <c r="AO72" s="1">
        <f t="shared" si="101"/>
        <v>0</v>
      </c>
      <c r="AP72" s="1">
        <f t="shared" si="102"/>
        <v>0</v>
      </c>
      <c r="AQ72" s="1">
        <f t="shared" si="103"/>
        <v>0</v>
      </c>
      <c r="AR72" s="72">
        <f t="shared" si="104"/>
        <v>0</v>
      </c>
    </row>
    <row r="73" spans="1:44" x14ac:dyDescent="0.45">
      <c r="A73" s="118">
        <f t="shared" si="5"/>
        <v>65</v>
      </c>
      <c r="B73" s="57">
        <v>561.6</v>
      </c>
      <c r="C73" s="34" t="s">
        <v>371</v>
      </c>
      <c r="D73" s="34" t="s">
        <v>379</v>
      </c>
      <c r="E73" s="25">
        <v>0</v>
      </c>
      <c r="F73" s="8">
        <v>101</v>
      </c>
      <c r="G73" s="1">
        <f>VLOOKUP($F73,AF!$B$39:$M$80,G$9)*$E73</f>
        <v>0</v>
      </c>
      <c r="H73" s="1">
        <f>VLOOKUP($F73,AF!$B$39:$M$80,H$9)*$E73</f>
        <v>0</v>
      </c>
      <c r="I73" s="1">
        <f>VLOOKUP($F73,AF!$B$39:$M$80,I$9)*$E73</f>
        <v>0</v>
      </c>
      <c r="J73" s="1">
        <f>VLOOKUP($F73,AF!$B$39:$M$80,J$9)*$E73</f>
        <v>0</v>
      </c>
      <c r="K73" s="1">
        <f t="shared" si="93"/>
        <v>0</v>
      </c>
      <c r="L73" s="72">
        <f t="shared" si="94"/>
        <v>0</v>
      </c>
      <c r="N73" s="8">
        <v>206</v>
      </c>
      <c r="O73" s="1">
        <f>VLOOKUP($N73,AF!$B$39:$M$80,O$9)*$G73</f>
        <v>0</v>
      </c>
      <c r="P73" s="1">
        <f>VLOOKUP($N73,AF!$B$39:$M$80,P$9)*$G73</f>
        <v>0</v>
      </c>
      <c r="Q73" s="1">
        <f>VLOOKUP($N73,AF!$B$39:$M$80,Q$9)*$H73</f>
        <v>0</v>
      </c>
      <c r="R73" s="1">
        <f>VLOOKUP($N73,AF!$B$39:$M$80,R$9)*$H73</f>
        <v>0</v>
      </c>
      <c r="S73" s="1">
        <f>VLOOKUP($N73,AF!$B$39:$M$80,S$9)*$I73</f>
        <v>0</v>
      </c>
      <c r="T73" s="1">
        <f>VLOOKUP($N73,AF!$B$39:$M$80,T$9)*$I73</f>
        <v>0</v>
      </c>
      <c r="U73" s="1">
        <f>VLOOKUP($N73,AF!$B$39:$M$80,U$9)*$J73</f>
        <v>0</v>
      </c>
      <c r="V73" s="1">
        <f>VLOOKUP($N73,AF!$B$39:$M$80,V$9)*$J73</f>
        <v>0</v>
      </c>
      <c r="W73" s="1">
        <f t="shared" si="95"/>
        <v>0</v>
      </c>
      <c r="Y73" s="1">
        <f t="shared" si="96"/>
        <v>0</v>
      </c>
      <c r="Z73" s="1">
        <f t="shared" si="97"/>
        <v>0</v>
      </c>
      <c r="AA73" s="1">
        <f t="shared" si="98"/>
        <v>0</v>
      </c>
      <c r="AB73" s="72">
        <f t="shared" si="99"/>
        <v>0</v>
      </c>
      <c r="AD73" s="72">
        <v>300</v>
      </c>
      <c r="AE73" s="1">
        <f>VLOOKUP($AD73,AF!$B$39:$M$80,AE$9)*$O73</f>
        <v>0</v>
      </c>
      <c r="AF73" s="1">
        <f>VLOOKUP($AD73,AF!$B$39:$M$80,AF$9)*$P73</f>
        <v>0</v>
      </c>
      <c r="AG73" s="1">
        <f>VLOOKUP($AD73,AF!$B$39:$M$80,AG$9)*$Q73</f>
        <v>0</v>
      </c>
      <c r="AH73" s="1">
        <f>VLOOKUP($AD73,AF!$B$39:$M$80,AH$9)*$R73</f>
        <v>0</v>
      </c>
      <c r="AI73" s="1">
        <f>VLOOKUP($AD73,AF!$B$39:$M$80,AI$9)*$S73</f>
        <v>0</v>
      </c>
      <c r="AJ73" s="1">
        <f>VLOOKUP($AD73,AF!$B$39:$M$80,AJ$9)*$T73</f>
        <v>0</v>
      </c>
      <c r="AK73" s="1">
        <f>VLOOKUP($AD73,AF!$B$39:$M$80,AK$9)*$U73</f>
        <v>0</v>
      </c>
      <c r="AL73" s="1">
        <f>VLOOKUP($AD73,AF!$B$39:$M$80,AL$9)*$V73</f>
        <v>0</v>
      </c>
      <c r="AM73" s="1">
        <f t="shared" si="100"/>
        <v>0</v>
      </c>
      <c r="AO73" s="1">
        <f t="shared" si="101"/>
        <v>0</v>
      </c>
      <c r="AP73" s="1">
        <f t="shared" si="102"/>
        <v>0</v>
      </c>
      <c r="AQ73" s="1">
        <f t="shared" si="103"/>
        <v>0</v>
      </c>
      <c r="AR73" s="72">
        <f t="shared" si="104"/>
        <v>0</v>
      </c>
    </row>
    <row r="74" spans="1:44" x14ac:dyDescent="0.45">
      <c r="A74" s="118">
        <f t="shared" si="5"/>
        <v>66</v>
      </c>
      <c r="B74" s="57" t="s">
        <v>589</v>
      </c>
      <c r="C74" s="57" t="s">
        <v>590</v>
      </c>
      <c r="D74" s="34"/>
      <c r="E74" s="17">
        <f>SUM(G74:K74)</f>
        <v>0</v>
      </c>
      <c r="F74" s="8">
        <v>100</v>
      </c>
      <c r="G74" s="25">
        <v>0</v>
      </c>
      <c r="H74" s="25">
        <v>0</v>
      </c>
      <c r="I74" s="25">
        <v>0</v>
      </c>
      <c r="J74" s="25">
        <v>0</v>
      </c>
      <c r="K74" s="25">
        <v>0</v>
      </c>
      <c r="L74" s="72">
        <f t="shared" si="94"/>
        <v>0</v>
      </c>
      <c r="N74" s="8">
        <v>202</v>
      </c>
      <c r="O74" s="1">
        <f>VLOOKUP($N74,AF!$B$39:$M$80,O$9)*$G74</f>
        <v>0</v>
      </c>
      <c r="P74" s="1">
        <f>VLOOKUP($N74,AF!$B$39:$M$80,P$9)*$G74</f>
        <v>0</v>
      </c>
      <c r="Q74" s="1">
        <f>VLOOKUP($N74,AF!$B$39:$M$80,Q$9)*$H74</f>
        <v>0</v>
      </c>
      <c r="R74" s="1">
        <f>VLOOKUP($N74,AF!$B$39:$M$80,R$9)*$H74</f>
        <v>0</v>
      </c>
      <c r="S74" s="1">
        <f>VLOOKUP($N74,AF!$B$39:$M$80,S$9)*$I74</f>
        <v>0</v>
      </c>
      <c r="T74" s="1">
        <f>VLOOKUP($N74,AF!$B$39:$M$80,T$9)*$I74</f>
        <v>0</v>
      </c>
      <c r="U74" s="1">
        <f>VLOOKUP($N74,AF!$B$39:$M$80,U$9)*$J74</f>
        <v>0</v>
      </c>
      <c r="V74" s="1">
        <f>VLOOKUP($N74,AF!$B$39:$M$80,V$9)*$J74</f>
        <v>0</v>
      </c>
      <c r="W74" s="1">
        <f t="shared" si="95"/>
        <v>0</v>
      </c>
      <c r="Y74" s="1">
        <f t="shared" si="96"/>
        <v>0</v>
      </c>
      <c r="Z74" s="1">
        <f t="shared" si="97"/>
        <v>0</v>
      </c>
      <c r="AA74" s="1">
        <f t="shared" si="98"/>
        <v>0</v>
      </c>
      <c r="AB74" s="72">
        <f t="shared" si="99"/>
        <v>0</v>
      </c>
      <c r="AD74" s="72">
        <v>300</v>
      </c>
      <c r="AE74" s="1">
        <f>VLOOKUP($AD74,AF!$B$39:$M$80,AE$9)*$O74</f>
        <v>0</v>
      </c>
      <c r="AF74" s="1">
        <f>VLOOKUP($AD74,AF!$B$39:$M$80,AF$9)*$P74</f>
        <v>0</v>
      </c>
      <c r="AG74" s="1">
        <f>VLOOKUP($AD74,AF!$B$39:$M$80,AG$9)*$Q74</f>
        <v>0</v>
      </c>
      <c r="AH74" s="1">
        <f>VLOOKUP($AD74,AF!$B$39:$M$80,AH$9)*$R74</f>
        <v>0</v>
      </c>
      <c r="AI74" s="1">
        <f>VLOOKUP($AD74,AF!$B$39:$M$80,AI$9)*$S74</f>
        <v>0</v>
      </c>
      <c r="AJ74" s="1">
        <f>VLOOKUP($AD74,AF!$B$39:$M$80,AJ$9)*$T74</f>
        <v>0</v>
      </c>
      <c r="AK74" s="1">
        <f>VLOOKUP($AD74,AF!$B$39:$M$80,AK$9)*$U74</f>
        <v>0</v>
      </c>
      <c r="AL74" s="1">
        <f>VLOOKUP($AD74,AF!$B$39:$M$80,AL$9)*$V74</f>
        <v>0</v>
      </c>
      <c r="AM74" s="1">
        <f t="shared" si="100"/>
        <v>0</v>
      </c>
      <c r="AO74" s="1">
        <f t="shared" si="101"/>
        <v>0</v>
      </c>
      <c r="AP74" s="1">
        <f t="shared" si="102"/>
        <v>0</v>
      </c>
      <c r="AQ74" s="1">
        <f t="shared" si="103"/>
        <v>0</v>
      </c>
      <c r="AR74" s="72">
        <f t="shared" si="104"/>
        <v>0</v>
      </c>
    </row>
    <row r="75" spans="1:44" x14ac:dyDescent="0.45">
      <c r="A75" s="118">
        <f t="shared" ref="A75:A138" si="105">+A74+1</f>
        <v>67</v>
      </c>
      <c r="B75" s="57">
        <v>561.70000000000005</v>
      </c>
      <c r="C75" s="34" t="s">
        <v>372</v>
      </c>
      <c r="D75" s="34" t="s">
        <v>380</v>
      </c>
      <c r="E75" s="25">
        <v>0</v>
      </c>
      <c r="F75" s="8">
        <v>101</v>
      </c>
      <c r="G75" s="1">
        <f>VLOOKUP($F75,AF!$B$39:$M$80,G$9)*$E75</f>
        <v>0</v>
      </c>
      <c r="H75" s="1">
        <f>VLOOKUP($F75,AF!$B$39:$M$80,H$9)*$E75</f>
        <v>0</v>
      </c>
      <c r="I75" s="1">
        <f>VLOOKUP($F75,AF!$B$39:$M$80,I$9)*$E75</f>
        <v>0</v>
      </c>
      <c r="J75" s="1">
        <f>VLOOKUP($F75,AF!$B$39:$M$80,J$9)*$E75</f>
        <v>0</v>
      </c>
      <c r="K75" s="1">
        <f t="shared" si="93"/>
        <v>0</v>
      </c>
      <c r="L75" s="72">
        <f t="shared" si="94"/>
        <v>0</v>
      </c>
      <c r="N75" s="8">
        <v>206</v>
      </c>
      <c r="O75" s="1">
        <f>VLOOKUP($N75,AF!$B$39:$M$80,O$9)*$G75</f>
        <v>0</v>
      </c>
      <c r="P75" s="1">
        <f>VLOOKUP($N75,AF!$B$39:$M$80,P$9)*$G75</f>
        <v>0</v>
      </c>
      <c r="Q75" s="1">
        <f>VLOOKUP($N75,AF!$B$39:$M$80,Q$9)*$H75</f>
        <v>0</v>
      </c>
      <c r="R75" s="1">
        <f>VLOOKUP($N75,AF!$B$39:$M$80,R$9)*$H75</f>
        <v>0</v>
      </c>
      <c r="S75" s="1">
        <f>VLOOKUP($N75,AF!$B$39:$M$80,S$9)*$I75</f>
        <v>0</v>
      </c>
      <c r="T75" s="1">
        <f>VLOOKUP($N75,AF!$B$39:$M$80,T$9)*$I75</f>
        <v>0</v>
      </c>
      <c r="U75" s="1">
        <f>VLOOKUP($N75,AF!$B$39:$M$80,U$9)*$J75</f>
        <v>0</v>
      </c>
      <c r="V75" s="1">
        <f>VLOOKUP($N75,AF!$B$39:$M$80,V$9)*$J75</f>
        <v>0</v>
      </c>
      <c r="W75" s="1">
        <f t="shared" si="95"/>
        <v>0</v>
      </c>
      <c r="Y75" s="1">
        <f t="shared" si="96"/>
        <v>0</v>
      </c>
      <c r="Z75" s="1">
        <f t="shared" si="97"/>
        <v>0</v>
      </c>
      <c r="AA75" s="1">
        <f t="shared" si="98"/>
        <v>0</v>
      </c>
      <c r="AB75" s="72">
        <f t="shared" si="99"/>
        <v>0</v>
      </c>
      <c r="AD75" s="72">
        <v>300</v>
      </c>
      <c r="AE75" s="1">
        <f>VLOOKUP($AD75,AF!$B$39:$M$80,AE$9)*$O75</f>
        <v>0</v>
      </c>
      <c r="AF75" s="1">
        <f>VLOOKUP($AD75,AF!$B$39:$M$80,AF$9)*$P75</f>
        <v>0</v>
      </c>
      <c r="AG75" s="1">
        <f>VLOOKUP($AD75,AF!$B$39:$M$80,AG$9)*$Q75</f>
        <v>0</v>
      </c>
      <c r="AH75" s="1">
        <f>VLOOKUP($AD75,AF!$B$39:$M$80,AH$9)*$R75</f>
        <v>0</v>
      </c>
      <c r="AI75" s="1">
        <f>VLOOKUP($AD75,AF!$B$39:$M$80,AI$9)*$S75</f>
        <v>0</v>
      </c>
      <c r="AJ75" s="1">
        <f>VLOOKUP($AD75,AF!$B$39:$M$80,AJ$9)*$T75</f>
        <v>0</v>
      </c>
      <c r="AK75" s="1">
        <f>VLOOKUP($AD75,AF!$B$39:$M$80,AK$9)*$U75</f>
        <v>0</v>
      </c>
      <c r="AL75" s="1">
        <f>VLOOKUP($AD75,AF!$B$39:$M$80,AL$9)*$V75</f>
        <v>0</v>
      </c>
      <c r="AM75" s="1">
        <f t="shared" si="100"/>
        <v>0</v>
      </c>
      <c r="AO75" s="1">
        <f t="shared" si="101"/>
        <v>0</v>
      </c>
      <c r="AP75" s="1">
        <f t="shared" si="102"/>
        <v>0</v>
      </c>
      <c r="AQ75" s="1">
        <f t="shared" si="103"/>
        <v>0</v>
      </c>
      <c r="AR75" s="72">
        <f t="shared" si="104"/>
        <v>0</v>
      </c>
    </row>
    <row r="76" spans="1:44" x14ac:dyDescent="0.45">
      <c r="A76" s="118">
        <f t="shared" si="105"/>
        <v>68</v>
      </c>
      <c r="B76" s="57" t="s">
        <v>591</v>
      </c>
      <c r="C76" s="57" t="s">
        <v>592</v>
      </c>
      <c r="D76" s="34"/>
      <c r="E76" s="17">
        <f>SUM(G76:K76)</f>
        <v>0</v>
      </c>
      <c r="F76" s="8">
        <v>100</v>
      </c>
      <c r="G76" s="25">
        <v>0</v>
      </c>
      <c r="H76" s="25">
        <v>0</v>
      </c>
      <c r="I76" s="25">
        <v>0</v>
      </c>
      <c r="J76" s="25">
        <v>0</v>
      </c>
      <c r="K76" s="25">
        <v>0</v>
      </c>
      <c r="L76" s="72">
        <f t="shared" si="94"/>
        <v>0</v>
      </c>
      <c r="N76" s="8">
        <v>202</v>
      </c>
      <c r="O76" s="1">
        <f>VLOOKUP($N76,AF!$B$39:$M$80,O$9)*$G76</f>
        <v>0</v>
      </c>
      <c r="P76" s="1">
        <f>VLOOKUP($N76,AF!$B$39:$M$80,P$9)*$G76</f>
        <v>0</v>
      </c>
      <c r="Q76" s="1">
        <f>VLOOKUP($N76,AF!$B$39:$M$80,Q$9)*$H76</f>
        <v>0</v>
      </c>
      <c r="R76" s="1">
        <f>VLOOKUP($N76,AF!$B$39:$M$80,R$9)*$H76</f>
        <v>0</v>
      </c>
      <c r="S76" s="1">
        <f>VLOOKUP($N76,AF!$B$39:$M$80,S$9)*$I76</f>
        <v>0</v>
      </c>
      <c r="T76" s="1">
        <f>VLOOKUP($N76,AF!$B$39:$M$80,T$9)*$I76</f>
        <v>0</v>
      </c>
      <c r="U76" s="1">
        <f>VLOOKUP($N76,AF!$B$39:$M$80,U$9)*$J76</f>
        <v>0</v>
      </c>
      <c r="V76" s="1">
        <f>VLOOKUP($N76,AF!$B$39:$M$80,V$9)*$J76</f>
        <v>0</v>
      </c>
      <c r="W76" s="1">
        <f t="shared" si="95"/>
        <v>0</v>
      </c>
      <c r="Y76" s="1">
        <f t="shared" si="96"/>
        <v>0</v>
      </c>
      <c r="Z76" s="1">
        <f t="shared" si="97"/>
        <v>0</v>
      </c>
      <c r="AA76" s="1">
        <f t="shared" si="98"/>
        <v>0</v>
      </c>
      <c r="AB76" s="72">
        <f t="shared" si="99"/>
        <v>0</v>
      </c>
      <c r="AD76" s="72">
        <v>300</v>
      </c>
      <c r="AE76" s="1">
        <f>VLOOKUP($AD76,AF!$B$39:$M$80,AE$9)*$O76</f>
        <v>0</v>
      </c>
      <c r="AF76" s="1">
        <f>VLOOKUP($AD76,AF!$B$39:$M$80,AF$9)*$P76</f>
        <v>0</v>
      </c>
      <c r="AG76" s="1">
        <f>VLOOKUP($AD76,AF!$B$39:$M$80,AG$9)*$Q76</f>
        <v>0</v>
      </c>
      <c r="AH76" s="1">
        <f>VLOOKUP($AD76,AF!$B$39:$M$80,AH$9)*$R76</f>
        <v>0</v>
      </c>
      <c r="AI76" s="1">
        <f>VLOOKUP($AD76,AF!$B$39:$M$80,AI$9)*$S76</f>
        <v>0</v>
      </c>
      <c r="AJ76" s="1">
        <f>VLOOKUP($AD76,AF!$B$39:$M$80,AJ$9)*$T76</f>
        <v>0</v>
      </c>
      <c r="AK76" s="1">
        <f>VLOOKUP($AD76,AF!$B$39:$M$80,AK$9)*$U76</f>
        <v>0</v>
      </c>
      <c r="AL76" s="1">
        <f>VLOOKUP($AD76,AF!$B$39:$M$80,AL$9)*$V76</f>
        <v>0</v>
      </c>
      <c r="AM76" s="1">
        <f t="shared" si="100"/>
        <v>0</v>
      </c>
      <c r="AO76" s="1">
        <f t="shared" si="101"/>
        <v>0</v>
      </c>
      <c r="AP76" s="1">
        <f t="shared" si="102"/>
        <v>0</v>
      </c>
      <c r="AQ76" s="1">
        <f t="shared" si="103"/>
        <v>0</v>
      </c>
      <c r="AR76" s="72">
        <f t="shared" si="104"/>
        <v>0</v>
      </c>
    </row>
    <row r="77" spans="1:44" x14ac:dyDescent="0.45">
      <c r="A77" s="118">
        <f t="shared" si="105"/>
        <v>69</v>
      </c>
      <c r="B77" s="57">
        <v>561.79999999999995</v>
      </c>
      <c r="C77" s="34" t="s">
        <v>373</v>
      </c>
      <c r="D77" s="34" t="s">
        <v>381</v>
      </c>
      <c r="E77" s="25">
        <v>290322</v>
      </c>
      <c r="F77" s="8">
        <v>101</v>
      </c>
      <c r="G77" s="1">
        <f>VLOOKUP($F77,AF!$B$39:$M$80,G$9)*$E77</f>
        <v>0</v>
      </c>
      <c r="H77" s="1">
        <f>VLOOKUP($F77,AF!$B$39:$M$80,H$9)*$E77</f>
        <v>0</v>
      </c>
      <c r="I77" s="1">
        <f>VLOOKUP($F77,AF!$B$39:$M$80,I$9)*$E77</f>
        <v>0</v>
      </c>
      <c r="J77" s="1">
        <f>VLOOKUP($F77,AF!$B$39:$M$80,J$9)*$E77</f>
        <v>0</v>
      </c>
      <c r="K77" s="1">
        <f t="shared" si="93"/>
        <v>290322</v>
      </c>
      <c r="L77" s="72">
        <f t="shared" si="94"/>
        <v>0</v>
      </c>
      <c r="N77" s="8">
        <v>206</v>
      </c>
      <c r="O77" s="1">
        <f>VLOOKUP($N77,AF!$B$39:$M$80,O$9)*$G77</f>
        <v>0</v>
      </c>
      <c r="P77" s="1">
        <f>VLOOKUP($N77,AF!$B$39:$M$80,P$9)*$G77</f>
        <v>0</v>
      </c>
      <c r="Q77" s="1">
        <f>VLOOKUP($N77,AF!$B$39:$M$80,Q$9)*$H77</f>
        <v>0</v>
      </c>
      <c r="R77" s="1">
        <f>VLOOKUP($N77,AF!$B$39:$M$80,R$9)*$H77</f>
        <v>0</v>
      </c>
      <c r="S77" s="1">
        <f>VLOOKUP($N77,AF!$B$39:$M$80,S$9)*$I77</f>
        <v>0</v>
      </c>
      <c r="T77" s="1">
        <f>VLOOKUP($N77,AF!$B$39:$M$80,T$9)*$I77</f>
        <v>0</v>
      </c>
      <c r="U77" s="1">
        <f>VLOOKUP($N77,AF!$B$39:$M$80,U$9)*$J77</f>
        <v>0</v>
      </c>
      <c r="V77" s="1">
        <f>VLOOKUP($N77,AF!$B$39:$M$80,V$9)*$J77</f>
        <v>0</v>
      </c>
      <c r="W77" s="1">
        <f t="shared" si="95"/>
        <v>290322</v>
      </c>
      <c r="Y77" s="1">
        <f t="shared" si="96"/>
        <v>0</v>
      </c>
      <c r="Z77" s="1">
        <f t="shared" si="97"/>
        <v>0</v>
      </c>
      <c r="AA77" s="1">
        <f t="shared" si="98"/>
        <v>290322</v>
      </c>
      <c r="AB77" s="72">
        <f t="shared" si="99"/>
        <v>0</v>
      </c>
      <c r="AD77" s="72">
        <v>300</v>
      </c>
      <c r="AE77" s="1">
        <f>VLOOKUP($AD77,AF!$B$39:$M$80,AE$9)*$O77</f>
        <v>0</v>
      </c>
      <c r="AF77" s="1">
        <f>VLOOKUP($AD77,AF!$B$39:$M$80,AF$9)*$P77</f>
        <v>0</v>
      </c>
      <c r="AG77" s="1">
        <f>VLOOKUP($AD77,AF!$B$39:$M$80,AG$9)*$Q77</f>
        <v>0</v>
      </c>
      <c r="AH77" s="1">
        <f>VLOOKUP($AD77,AF!$B$39:$M$80,AH$9)*$R77</f>
        <v>0</v>
      </c>
      <c r="AI77" s="1">
        <f>VLOOKUP($AD77,AF!$B$39:$M$80,AI$9)*$S77</f>
        <v>0</v>
      </c>
      <c r="AJ77" s="1">
        <f>VLOOKUP($AD77,AF!$B$39:$M$80,AJ$9)*$T77</f>
        <v>0</v>
      </c>
      <c r="AK77" s="1">
        <f>VLOOKUP($AD77,AF!$B$39:$M$80,AK$9)*$U77</f>
        <v>0</v>
      </c>
      <c r="AL77" s="1">
        <f>VLOOKUP($AD77,AF!$B$39:$M$80,AL$9)*$V77</f>
        <v>0</v>
      </c>
      <c r="AM77" s="1">
        <f t="shared" si="100"/>
        <v>290322</v>
      </c>
      <c r="AO77" s="1">
        <f t="shared" si="101"/>
        <v>0</v>
      </c>
      <c r="AP77" s="1">
        <f t="shared" si="102"/>
        <v>0</v>
      </c>
      <c r="AQ77" s="1">
        <f t="shared" si="103"/>
        <v>290322</v>
      </c>
      <c r="AR77" s="72">
        <f t="shared" si="104"/>
        <v>0</v>
      </c>
    </row>
    <row r="78" spans="1:44" x14ac:dyDescent="0.45">
      <c r="A78" s="118">
        <f t="shared" si="105"/>
        <v>70</v>
      </c>
      <c r="B78" s="57" t="s">
        <v>593</v>
      </c>
      <c r="C78" s="57" t="s">
        <v>594</v>
      </c>
      <c r="D78" s="34"/>
      <c r="E78" s="17">
        <f>SUM(G78:K78)</f>
        <v>0</v>
      </c>
      <c r="F78" s="8">
        <v>100</v>
      </c>
      <c r="G78" s="25">
        <v>0</v>
      </c>
      <c r="H78" s="25">
        <v>0</v>
      </c>
      <c r="I78" s="25">
        <v>0</v>
      </c>
      <c r="J78" s="25">
        <v>0</v>
      </c>
      <c r="K78" s="25">
        <v>0</v>
      </c>
      <c r="L78" s="72">
        <f t="shared" si="94"/>
        <v>0</v>
      </c>
      <c r="N78" s="8">
        <v>202</v>
      </c>
      <c r="O78" s="1">
        <f>VLOOKUP($N78,AF!$B$39:$M$80,O$9)*$G78</f>
        <v>0</v>
      </c>
      <c r="P78" s="1">
        <f>VLOOKUP($N78,AF!$B$39:$M$80,P$9)*$G78</f>
        <v>0</v>
      </c>
      <c r="Q78" s="1">
        <f>VLOOKUP($N78,AF!$B$39:$M$80,Q$9)*$H78</f>
        <v>0</v>
      </c>
      <c r="R78" s="1">
        <f>VLOOKUP($N78,AF!$B$39:$M$80,R$9)*$H78</f>
        <v>0</v>
      </c>
      <c r="S78" s="1">
        <f>VLOOKUP($N78,AF!$B$39:$M$80,S$9)*$I78</f>
        <v>0</v>
      </c>
      <c r="T78" s="1">
        <f>VLOOKUP($N78,AF!$B$39:$M$80,T$9)*$I78</f>
        <v>0</v>
      </c>
      <c r="U78" s="1">
        <f>VLOOKUP($N78,AF!$B$39:$M$80,U$9)*$J78</f>
        <v>0</v>
      </c>
      <c r="V78" s="1">
        <f>VLOOKUP($N78,AF!$B$39:$M$80,V$9)*$J78</f>
        <v>0</v>
      </c>
      <c r="W78" s="1">
        <f t="shared" si="95"/>
        <v>0</v>
      </c>
      <c r="Y78" s="1">
        <f t="shared" si="96"/>
        <v>0</v>
      </c>
      <c r="Z78" s="1">
        <f t="shared" si="97"/>
        <v>0</v>
      </c>
      <c r="AA78" s="1">
        <f t="shared" si="98"/>
        <v>0</v>
      </c>
      <c r="AB78" s="72">
        <f t="shared" si="99"/>
        <v>0</v>
      </c>
      <c r="AD78" s="72">
        <v>300</v>
      </c>
      <c r="AE78" s="1">
        <f>VLOOKUP($AD78,AF!$B$39:$M$80,AE$9)*$O78</f>
        <v>0</v>
      </c>
      <c r="AF78" s="1">
        <f>VLOOKUP($AD78,AF!$B$39:$M$80,AF$9)*$P78</f>
        <v>0</v>
      </c>
      <c r="AG78" s="1">
        <f>VLOOKUP($AD78,AF!$B$39:$M$80,AG$9)*$Q78</f>
        <v>0</v>
      </c>
      <c r="AH78" s="1">
        <f>VLOOKUP($AD78,AF!$B$39:$M$80,AH$9)*$R78</f>
        <v>0</v>
      </c>
      <c r="AI78" s="1">
        <f>VLOOKUP($AD78,AF!$B$39:$M$80,AI$9)*$S78</f>
        <v>0</v>
      </c>
      <c r="AJ78" s="1">
        <f>VLOOKUP($AD78,AF!$B$39:$M$80,AJ$9)*$T78</f>
        <v>0</v>
      </c>
      <c r="AK78" s="1">
        <f>VLOOKUP($AD78,AF!$B$39:$M$80,AK$9)*$U78</f>
        <v>0</v>
      </c>
      <c r="AL78" s="1">
        <f>VLOOKUP($AD78,AF!$B$39:$M$80,AL$9)*$V78</f>
        <v>0</v>
      </c>
      <c r="AM78" s="1">
        <f t="shared" si="100"/>
        <v>0</v>
      </c>
      <c r="AO78" s="1">
        <f t="shared" si="101"/>
        <v>0</v>
      </c>
      <c r="AP78" s="1">
        <f t="shared" si="102"/>
        <v>0</v>
      </c>
      <c r="AQ78" s="1">
        <f t="shared" si="103"/>
        <v>0</v>
      </c>
      <c r="AR78" s="72">
        <f t="shared" si="104"/>
        <v>0</v>
      </c>
    </row>
    <row r="79" spans="1:44" x14ac:dyDescent="0.45">
      <c r="A79" s="118">
        <f t="shared" si="105"/>
        <v>71</v>
      </c>
      <c r="B79" s="57">
        <v>562</v>
      </c>
      <c r="C79" s="34" t="s">
        <v>576</v>
      </c>
      <c r="D79" s="34" t="s">
        <v>48</v>
      </c>
      <c r="E79" s="25">
        <f>1585-E80</f>
        <v>0</v>
      </c>
      <c r="F79" s="8">
        <v>101</v>
      </c>
      <c r="G79" s="1">
        <f>VLOOKUP($F79,AF!$B$39:$M$80,G$9)*$E79</f>
        <v>0</v>
      </c>
      <c r="H79" s="1">
        <f>VLOOKUP($F79,AF!$B$39:$M$80,H$9)*$E79</f>
        <v>0</v>
      </c>
      <c r="I79" s="1">
        <f>VLOOKUP($F79,AF!$B$39:$M$80,I$9)*$E79</f>
        <v>0</v>
      </c>
      <c r="J79" s="1">
        <f>VLOOKUP($F79,AF!$B$39:$M$80,J$9)*$E79</f>
        <v>0</v>
      </c>
      <c r="K79" s="1">
        <f t="shared" si="93"/>
        <v>0</v>
      </c>
      <c r="L79" s="72">
        <f t="shared" si="94"/>
        <v>0</v>
      </c>
      <c r="N79" s="8">
        <v>206</v>
      </c>
      <c r="O79" s="1">
        <f>VLOOKUP($N79,AF!$B$39:$M$80,O$9)*$G79</f>
        <v>0</v>
      </c>
      <c r="P79" s="1">
        <f>VLOOKUP($N79,AF!$B$39:$M$80,P$9)*$G79</f>
        <v>0</v>
      </c>
      <c r="Q79" s="1">
        <f>VLOOKUP($N79,AF!$B$39:$M$80,Q$9)*$H79</f>
        <v>0</v>
      </c>
      <c r="R79" s="1">
        <f>VLOOKUP($N79,AF!$B$39:$M$80,R$9)*$H79</f>
        <v>0</v>
      </c>
      <c r="S79" s="1">
        <f>VLOOKUP($N79,AF!$B$39:$M$80,S$9)*$I79</f>
        <v>0</v>
      </c>
      <c r="T79" s="1">
        <f>VLOOKUP($N79,AF!$B$39:$M$80,T$9)*$I79</f>
        <v>0</v>
      </c>
      <c r="U79" s="1">
        <f>VLOOKUP($N79,AF!$B$39:$M$80,U$9)*$J79</f>
        <v>0</v>
      </c>
      <c r="V79" s="1">
        <f>VLOOKUP($N79,AF!$B$39:$M$80,V$9)*$J79</f>
        <v>0</v>
      </c>
      <c r="W79" s="1">
        <f t="shared" si="95"/>
        <v>0</v>
      </c>
      <c r="Y79" s="1">
        <f t="shared" si="96"/>
        <v>0</v>
      </c>
      <c r="Z79" s="1">
        <f t="shared" si="97"/>
        <v>0</v>
      </c>
      <c r="AA79" s="1">
        <f t="shared" si="98"/>
        <v>0</v>
      </c>
      <c r="AB79" s="72">
        <f t="shared" si="99"/>
        <v>0</v>
      </c>
      <c r="AD79" s="72">
        <v>300</v>
      </c>
      <c r="AE79" s="1">
        <f>VLOOKUP($AD79,AF!$B$39:$M$80,AE$9)*$O79</f>
        <v>0</v>
      </c>
      <c r="AF79" s="1">
        <f>VLOOKUP($AD79,AF!$B$39:$M$80,AF$9)*$P79</f>
        <v>0</v>
      </c>
      <c r="AG79" s="1">
        <f>VLOOKUP($AD79,AF!$B$39:$M$80,AG$9)*$Q79</f>
        <v>0</v>
      </c>
      <c r="AH79" s="1">
        <f>VLOOKUP($AD79,AF!$B$39:$M$80,AH$9)*$R79</f>
        <v>0</v>
      </c>
      <c r="AI79" s="1">
        <f>VLOOKUP($AD79,AF!$B$39:$M$80,AI$9)*$S79</f>
        <v>0</v>
      </c>
      <c r="AJ79" s="1">
        <f>VLOOKUP($AD79,AF!$B$39:$M$80,AJ$9)*$T79</f>
        <v>0</v>
      </c>
      <c r="AK79" s="1">
        <f>VLOOKUP($AD79,AF!$B$39:$M$80,AK$9)*$U79</f>
        <v>0</v>
      </c>
      <c r="AL79" s="1">
        <f>VLOOKUP($AD79,AF!$B$39:$M$80,AL$9)*$V79</f>
        <v>0</v>
      </c>
      <c r="AM79" s="1">
        <f t="shared" si="100"/>
        <v>0</v>
      </c>
      <c r="AO79" s="1">
        <f t="shared" si="101"/>
        <v>0</v>
      </c>
      <c r="AP79" s="1">
        <f t="shared" si="102"/>
        <v>0</v>
      </c>
      <c r="AQ79" s="1">
        <f t="shared" si="103"/>
        <v>0</v>
      </c>
      <c r="AR79" s="72">
        <f t="shared" si="104"/>
        <v>0</v>
      </c>
    </row>
    <row r="80" spans="1:44" x14ac:dyDescent="0.45">
      <c r="A80" s="118">
        <f t="shared" si="105"/>
        <v>72</v>
      </c>
      <c r="B80" s="57" t="s">
        <v>595</v>
      </c>
      <c r="C80" s="57" t="s">
        <v>596</v>
      </c>
      <c r="D80" s="34"/>
      <c r="E80" s="17">
        <f>SUM(G80:K80)</f>
        <v>1585</v>
      </c>
      <c r="F80" s="8">
        <v>100</v>
      </c>
      <c r="G80" s="25">
        <v>0</v>
      </c>
      <c r="H80" s="25">
        <v>0</v>
      </c>
      <c r="I80" s="25">
        <v>1585</v>
      </c>
      <c r="J80" s="25">
        <v>0</v>
      </c>
      <c r="K80" s="25">
        <v>0</v>
      </c>
      <c r="L80" s="72">
        <f t="shared" si="94"/>
        <v>0</v>
      </c>
      <c r="N80" s="8">
        <v>202</v>
      </c>
      <c r="O80" s="1">
        <f>VLOOKUP($N80,AF!$B$39:$M$80,O$9)*$G80</f>
        <v>0</v>
      </c>
      <c r="P80" s="1">
        <f>VLOOKUP($N80,AF!$B$39:$M$80,P$9)*$G80</f>
        <v>0</v>
      </c>
      <c r="Q80" s="1">
        <f>VLOOKUP($N80,AF!$B$39:$M$80,Q$9)*$H80</f>
        <v>0</v>
      </c>
      <c r="R80" s="1">
        <f>VLOOKUP($N80,AF!$B$39:$M$80,R$9)*$H80</f>
        <v>0</v>
      </c>
      <c r="S80" s="1">
        <f>VLOOKUP($N80,AF!$B$39:$M$80,S$9)*$I80</f>
        <v>1585</v>
      </c>
      <c r="T80" s="1">
        <f>VLOOKUP($N80,AF!$B$39:$M$80,T$9)*$I80</f>
        <v>0</v>
      </c>
      <c r="U80" s="1">
        <f>VLOOKUP($N80,AF!$B$39:$M$80,U$9)*$J80</f>
        <v>0</v>
      </c>
      <c r="V80" s="1">
        <f>VLOOKUP($N80,AF!$B$39:$M$80,V$9)*$J80</f>
        <v>0</v>
      </c>
      <c r="W80" s="1">
        <f t="shared" si="95"/>
        <v>0</v>
      </c>
      <c r="Y80" s="1">
        <f t="shared" si="96"/>
        <v>1585</v>
      </c>
      <c r="Z80" s="1">
        <f t="shared" si="97"/>
        <v>0</v>
      </c>
      <c r="AA80" s="1">
        <f t="shared" si="98"/>
        <v>1585</v>
      </c>
      <c r="AB80" s="72">
        <f t="shared" si="99"/>
        <v>0</v>
      </c>
      <c r="AD80" s="72">
        <v>300</v>
      </c>
      <c r="AE80" s="1">
        <f>VLOOKUP($AD80,AF!$B$39:$M$80,AE$9)*$O80</f>
        <v>0</v>
      </c>
      <c r="AF80" s="1">
        <f>VLOOKUP($AD80,AF!$B$39:$M$80,AF$9)*$P80</f>
        <v>0</v>
      </c>
      <c r="AG80" s="1">
        <f>VLOOKUP($AD80,AF!$B$39:$M$80,AG$9)*$Q80</f>
        <v>0</v>
      </c>
      <c r="AH80" s="1">
        <f>VLOOKUP($AD80,AF!$B$39:$M$80,AH$9)*$R80</f>
        <v>0</v>
      </c>
      <c r="AI80" s="1">
        <f>VLOOKUP($AD80,AF!$B$39:$M$80,AI$9)*$S80</f>
        <v>1585</v>
      </c>
      <c r="AJ80" s="1">
        <f>VLOOKUP($AD80,AF!$B$39:$M$80,AJ$9)*$T80</f>
        <v>0</v>
      </c>
      <c r="AK80" s="1">
        <f>VLOOKUP($AD80,AF!$B$39:$M$80,AK$9)*$U80</f>
        <v>0</v>
      </c>
      <c r="AL80" s="1">
        <f>VLOOKUP($AD80,AF!$B$39:$M$80,AL$9)*$V80</f>
        <v>0</v>
      </c>
      <c r="AM80" s="1">
        <f t="shared" si="100"/>
        <v>0</v>
      </c>
      <c r="AO80" s="1">
        <f t="shared" si="101"/>
        <v>1585</v>
      </c>
      <c r="AP80" s="1">
        <f t="shared" si="102"/>
        <v>0</v>
      </c>
      <c r="AQ80" s="1">
        <f t="shared" si="103"/>
        <v>1585</v>
      </c>
      <c r="AR80" s="72">
        <f t="shared" si="104"/>
        <v>0</v>
      </c>
    </row>
    <row r="81" spans="1:44" x14ac:dyDescent="0.45">
      <c r="A81" s="118">
        <f t="shared" si="105"/>
        <v>73</v>
      </c>
      <c r="B81" s="57">
        <v>563</v>
      </c>
      <c r="C81" s="34" t="s">
        <v>291</v>
      </c>
      <c r="D81" s="34" t="s">
        <v>292</v>
      </c>
      <c r="E81" s="25">
        <f>22142-E82</f>
        <v>0</v>
      </c>
      <c r="F81" s="8">
        <v>101</v>
      </c>
      <c r="G81" s="1">
        <f>VLOOKUP($F81,AF!$B$39:$M$80,G$9)*$E81</f>
        <v>0</v>
      </c>
      <c r="H81" s="1">
        <f>VLOOKUP($F81,AF!$B$39:$M$80,H$9)*$E81</f>
        <v>0</v>
      </c>
      <c r="I81" s="1">
        <f>VLOOKUP($F81,AF!$B$39:$M$80,I$9)*$E81</f>
        <v>0</v>
      </c>
      <c r="J81" s="1">
        <f>VLOOKUP($F81,AF!$B$39:$M$80,J$9)*$E81</f>
        <v>0</v>
      </c>
      <c r="K81" s="1">
        <f t="shared" si="93"/>
        <v>0</v>
      </c>
      <c r="L81" s="72">
        <f t="shared" si="94"/>
        <v>0</v>
      </c>
      <c r="N81" s="8">
        <v>206</v>
      </c>
      <c r="O81" s="1">
        <f>VLOOKUP($N81,AF!$B$39:$M$80,O$9)*$G81</f>
        <v>0</v>
      </c>
      <c r="P81" s="1">
        <f>VLOOKUP($N81,AF!$B$39:$M$80,P$9)*$G81</f>
        <v>0</v>
      </c>
      <c r="Q81" s="1">
        <f>VLOOKUP($N81,AF!$B$39:$M$80,Q$9)*$H81</f>
        <v>0</v>
      </c>
      <c r="R81" s="1">
        <f>VLOOKUP($N81,AF!$B$39:$M$80,R$9)*$H81</f>
        <v>0</v>
      </c>
      <c r="S81" s="1">
        <f>VLOOKUP($N81,AF!$B$39:$M$80,S$9)*$I81</f>
        <v>0</v>
      </c>
      <c r="T81" s="1">
        <f>VLOOKUP($N81,AF!$B$39:$M$80,T$9)*$I81</f>
        <v>0</v>
      </c>
      <c r="U81" s="1">
        <f>VLOOKUP($N81,AF!$B$39:$M$80,U$9)*$J81</f>
        <v>0</v>
      </c>
      <c r="V81" s="1">
        <f>VLOOKUP($N81,AF!$B$39:$M$80,V$9)*$J81</f>
        <v>0</v>
      </c>
      <c r="W81" s="1">
        <f t="shared" si="95"/>
        <v>0</v>
      </c>
      <c r="Y81" s="1">
        <f t="shared" si="96"/>
        <v>0</v>
      </c>
      <c r="Z81" s="1">
        <f t="shared" si="97"/>
        <v>0</v>
      </c>
      <c r="AA81" s="1">
        <f t="shared" si="98"/>
        <v>0</v>
      </c>
      <c r="AB81" s="72">
        <f t="shared" si="99"/>
        <v>0</v>
      </c>
      <c r="AD81" s="72">
        <v>300</v>
      </c>
      <c r="AE81" s="1">
        <f>VLOOKUP($AD81,AF!$B$39:$M$80,AE$9)*$O81</f>
        <v>0</v>
      </c>
      <c r="AF81" s="1">
        <f>VLOOKUP($AD81,AF!$B$39:$M$80,AF$9)*$P81</f>
        <v>0</v>
      </c>
      <c r="AG81" s="1">
        <f>VLOOKUP($AD81,AF!$B$39:$M$80,AG$9)*$Q81</f>
        <v>0</v>
      </c>
      <c r="AH81" s="1">
        <f>VLOOKUP($AD81,AF!$B$39:$M$80,AH$9)*$R81</f>
        <v>0</v>
      </c>
      <c r="AI81" s="1">
        <f>VLOOKUP($AD81,AF!$B$39:$M$80,AI$9)*$S81</f>
        <v>0</v>
      </c>
      <c r="AJ81" s="1">
        <f>VLOOKUP($AD81,AF!$B$39:$M$80,AJ$9)*$T81</f>
        <v>0</v>
      </c>
      <c r="AK81" s="1">
        <f>VLOOKUP($AD81,AF!$B$39:$M$80,AK$9)*$U81</f>
        <v>0</v>
      </c>
      <c r="AL81" s="1">
        <f>VLOOKUP($AD81,AF!$B$39:$M$80,AL$9)*$V81</f>
        <v>0</v>
      </c>
      <c r="AM81" s="1">
        <f t="shared" si="100"/>
        <v>0</v>
      </c>
      <c r="AO81" s="1">
        <f t="shared" si="101"/>
        <v>0</v>
      </c>
      <c r="AP81" s="1">
        <f t="shared" si="102"/>
        <v>0</v>
      </c>
      <c r="AQ81" s="1">
        <f t="shared" si="103"/>
        <v>0</v>
      </c>
      <c r="AR81" s="72">
        <f t="shared" si="104"/>
        <v>0</v>
      </c>
    </row>
    <row r="82" spans="1:44" x14ac:dyDescent="0.45">
      <c r="A82" s="118">
        <f t="shared" si="105"/>
        <v>74</v>
      </c>
      <c r="B82" s="57" t="s">
        <v>597</v>
      </c>
      <c r="C82" s="57" t="s">
        <v>598</v>
      </c>
      <c r="D82" s="34"/>
      <c r="E82" s="17">
        <f>SUM(G82:K82)</f>
        <v>22142</v>
      </c>
      <c r="F82" s="8">
        <v>100</v>
      </c>
      <c r="G82" s="25">
        <v>0</v>
      </c>
      <c r="H82" s="25">
        <v>22142</v>
      </c>
      <c r="I82" s="25">
        <v>0</v>
      </c>
      <c r="J82" s="25">
        <v>0</v>
      </c>
      <c r="K82" s="25">
        <v>0</v>
      </c>
      <c r="L82" s="72">
        <f t="shared" si="94"/>
        <v>0</v>
      </c>
      <c r="N82" s="8">
        <v>202</v>
      </c>
      <c r="O82" s="1">
        <f>VLOOKUP($N82,AF!$B$39:$M$80,O$9)*$G82</f>
        <v>0</v>
      </c>
      <c r="P82" s="1">
        <f>VLOOKUP($N82,AF!$B$39:$M$80,P$9)*$G82</f>
        <v>0</v>
      </c>
      <c r="Q82" s="1">
        <f>VLOOKUP($N82,AF!$B$39:$M$80,Q$9)*$H82</f>
        <v>22142</v>
      </c>
      <c r="R82" s="1">
        <f>VLOOKUP($N82,AF!$B$39:$M$80,R$9)*$H82</f>
        <v>0</v>
      </c>
      <c r="S82" s="1">
        <f>VLOOKUP($N82,AF!$B$39:$M$80,S$9)*$I82</f>
        <v>0</v>
      </c>
      <c r="T82" s="1">
        <f>VLOOKUP($N82,AF!$B$39:$M$80,T$9)*$I82</f>
        <v>0</v>
      </c>
      <c r="U82" s="1">
        <f>VLOOKUP($N82,AF!$B$39:$M$80,U$9)*$J82</f>
        <v>0</v>
      </c>
      <c r="V82" s="1">
        <f>VLOOKUP($N82,AF!$B$39:$M$80,V$9)*$J82</f>
        <v>0</v>
      </c>
      <c r="W82" s="1">
        <f t="shared" si="95"/>
        <v>0</v>
      </c>
      <c r="Y82" s="1">
        <f t="shared" si="96"/>
        <v>22142</v>
      </c>
      <c r="Z82" s="1">
        <f t="shared" si="97"/>
        <v>0</v>
      </c>
      <c r="AA82" s="1">
        <f t="shared" si="98"/>
        <v>22142</v>
      </c>
      <c r="AB82" s="72">
        <f t="shared" si="99"/>
        <v>0</v>
      </c>
      <c r="AD82" s="72">
        <v>300</v>
      </c>
      <c r="AE82" s="1">
        <f>VLOOKUP($AD82,AF!$B$39:$M$80,AE$9)*$O82</f>
        <v>0</v>
      </c>
      <c r="AF82" s="1">
        <f>VLOOKUP($AD82,AF!$B$39:$M$80,AF$9)*$P82</f>
        <v>0</v>
      </c>
      <c r="AG82" s="1">
        <f>VLOOKUP($AD82,AF!$B$39:$M$80,AG$9)*$Q82</f>
        <v>22142</v>
      </c>
      <c r="AH82" s="1">
        <f>VLOOKUP($AD82,AF!$B$39:$M$80,AH$9)*$R82</f>
        <v>0</v>
      </c>
      <c r="AI82" s="1">
        <f>VLOOKUP($AD82,AF!$B$39:$M$80,AI$9)*$S82</f>
        <v>0</v>
      </c>
      <c r="AJ82" s="1">
        <f>VLOOKUP($AD82,AF!$B$39:$M$80,AJ$9)*$T82</f>
        <v>0</v>
      </c>
      <c r="AK82" s="1">
        <f>VLOOKUP($AD82,AF!$B$39:$M$80,AK$9)*$U82</f>
        <v>0</v>
      </c>
      <c r="AL82" s="1">
        <f>VLOOKUP($AD82,AF!$B$39:$M$80,AL$9)*$V82</f>
        <v>0</v>
      </c>
      <c r="AM82" s="1">
        <f t="shared" si="100"/>
        <v>0</v>
      </c>
      <c r="AO82" s="1">
        <f t="shared" si="101"/>
        <v>22142</v>
      </c>
      <c r="AP82" s="1">
        <f t="shared" si="102"/>
        <v>0</v>
      </c>
      <c r="AQ82" s="1">
        <f t="shared" si="103"/>
        <v>22142</v>
      </c>
      <c r="AR82" s="72">
        <f t="shared" si="104"/>
        <v>0</v>
      </c>
    </row>
    <row r="83" spans="1:44" x14ac:dyDescent="0.45">
      <c r="A83" s="118">
        <f t="shared" si="105"/>
        <v>75</v>
      </c>
      <c r="B83" s="57">
        <v>564</v>
      </c>
      <c r="C83" s="34" t="s">
        <v>293</v>
      </c>
      <c r="D83" s="34" t="s">
        <v>294</v>
      </c>
      <c r="E83" s="25">
        <v>0</v>
      </c>
      <c r="F83" s="8">
        <v>101</v>
      </c>
      <c r="G83" s="1">
        <f>VLOOKUP($F83,AF!$B$39:$M$80,G$9)*$E83</f>
        <v>0</v>
      </c>
      <c r="H83" s="1">
        <f>VLOOKUP($F83,AF!$B$39:$M$80,H$9)*$E83</f>
        <v>0</v>
      </c>
      <c r="I83" s="1">
        <f>VLOOKUP($F83,AF!$B$39:$M$80,I$9)*$E83</f>
        <v>0</v>
      </c>
      <c r="J83" s="1">
        <f>VLOOKUP($F83,AF!$B$39:$M$80,J$9)*$E83</f>
        <v>0</v>
      </c>
      <c r="K83" s="1">
        <f t="shared" si="93"/>
        <v>0</v>
      </c>
      <c r="L83" s="72">
        <f t="shared" si="94"/>
        <v>0</v>
      </c>
      <c r="N83" s="8">
        <v>206</v>
      </c>
      <c r="O83" s="1">
        <f>VLOOKUP($N83,AF!$B$39:$M$80,O$9)*$G83</f>
        <v>0</v>
      </c>
      <c r="P83" s="1">
        <f>VLOOKUP($N83,AF!$B$39:$M$80,P$9)*$G83</f>
        <v>0</v>
      </c>
      <c r="Q83" s="1">
        <f>VLOOKUP($N83,AF!$B$39:$M$80,Q$9)*$H83</f>
        <v>0</v>
      </c>
      <c r="R83" s="1">
        <f>VLOOKUP($N83,AF!$B$39:$M$80,R$9)*$H83</f>
        <v>0</v>
      </c>
      <c r="S83" s="1">
        <f>VLOOKUP($N83,AF!$B$39:$M$80,S$9)*$I83</f>
        <v>0</v>
      </c>
      <c r="T83" s="1">
        <f>VLOOKUP($N83,AF!$B$39:$M$80,T$9)*$I83</f>
        <v>0</v>
      </c>
      <c r="U83" s="1">
        <f>VLOOKUP($N83,AF!$B$39:$M$80,U$9)*$J83</f>
        <v>0</v>
      </c>
      <c r="V83" s="1">
        <f>VLOOKUP($N83,AF!$B$39:$M$80,V$9)*$J83</f>
        <v>0</v>
      </c>
      <c r="W83" s="1">
        <f t="shared" si="95"/>
        <v>0</v>
      </c>
      <c r="Y83" s="1">
        <f t="shared" si="96"/>
        <v>0</v>
      </c>
      <c r="Z83" s="1">
        <f t="shared" si="97"/>
        <v>0</v>
      </c>
      <c r="AA83" s="1">
        <f t="shared" si="98"/>
        <v>0</v>
      </c>
      <c r="AB83" s="72">
        <f t="shared" si="99"/>
        <v>0</v>
      </c>
      <c r="AD83" s="72">
        <v>300</v>
      </c>
      <c r="AE83" s="1">
        <f>VLOOKUP($AD83,AF!$B$39:$M$80,AE$9)*$O83</f>
        <v>0</v>
      </c>
      <c r="AF83" s="1">
        <f>VLOOKUP($AD83,AF!$B$39:$M$80,AF$9)*$P83</f>
        <v>0</v>
      </c>
      <c r="AG83" s="1">
        <f>VLOOKUP($AD83,AF!$B$39:$M$80,AG$9)*$Q83</f>
        <v>0</v>
      </c>
      <c r="AH83" s="1">
        <f>VLOOKUP($AD83,AF!$B$39:$M$80,AH$9)*$R83</f>
        <v>0</v>
      </c>
      <c r="AI83" s="1">
        <f>VLOOKUP($AD83,AF!$B$39:$M$80,AI$9)*$S83</f>
        <v>0</v>
      </c>
      <c r="AJ83" s="1">
        <f>VLOOKUP($AD83,AF!$B$39:$M$80,AJ$9)*$T83</f>
        <v>0</v>
      </c>
      <c r="AK83" s="1">
        <f>VLOOKUP($AD83,AF!$B$39:$M$80,AK$9)*$U83</f>
        <v>0</v>
      </c>
      <c r="AL83" s="1">
        <f>VLOOKUP($AD83,AF!$B$39:$M$80,AL$9)*$V83</f>
        <v>0</v>
      </c>
      <c r="AM83" s="1">
        <f t="shared" si="100"/>
        <v>0</v>
      </c>
      <c r="AO83" s="1">
        <f t="shared" si="101"/>
        <v>0</v>
      </c>
      <c r="AP83" s="1">
        <f t="shared" si="102"/>
        <v>0</v>
      </c>
      <c r="AQ83" s="1">
        <f t="shared" si="103"/>
        <v>0</v>
      </c>
      <c r="AR83" s="72">
        <f t="shared" si="104"/>
        <v>0</v>
      </c>
    </row>
    <row r="84" spans="1:44" x14ac:dyDescent="0.45">
      <c r="A84" s="118">
        <f t="shared" si="105"/>
        <v>76</v>
      </c>
      <c r="B84" s="57" t="s">
        <v>599</v>
      </c>
      <c r="C84" s="57" t="s">
        <v>600</v>
      </c>
      <c r="D84" s="34"/>
      <c r="E84" s="17">
        <f>SUM(G84:K84)</f>
        <v>0</v>
      </c>
      <c r="F84" s="8">
        <v>100</v>
      </c>
      <c r="G84" s="25">
        <v>0</v>
      </c>
      <c r="H84" s="25">
        <v>0</v>
      </c>
      <c r="I84" s="25">
        <v>0</v>
      </c>
      <c r="J84" s="25">
        <v>0</v>
      </c>
      <c r="K84" s="25">
        <v>0</v>
      </c>
      <c r="L84" s="72">
        <f t="shared" si="94"/>
        <v>0</v>
      </c>
      <c r="N84" s="8">
        <v>202</v>
      </c>
      <c r="O84" s="1">
        <f>VLOOKUP($N84,AF!$B$39:$M$80,O$9)*$G84</f>
        <v>0</v>
      </c>
      <c r="P84" s="1">
        <f>VLOOKUP($N84,AF!$B$39:$M$80,P$9)*$G84</f>
        <v>0</v>
      </c>
      <c r="Q84" s="1">
        <f>VLOOKUP($N84,AF!$B$39:$M$80,Q$9)*$H84</f>
        <v>0</v>
      </c>
      <c r="R84" s="1">
        <f>VLOOKUP($N84,AF!$B$39:$M$80,R$9)*$H84</f>
        <v>0</v>
      </c>
      <c r="S84" s="1">
        <f>VLOOKUP($N84,AF!$B$39:$M$80,S$9)*$I84</f>
        <v>0</v>
      </c>
      <c r="T84" s="1">
        <f>VLOOKUP($N84,AF!$B$39:$M$80,T$9)*$I84</f>
        <v>0</v>
      </c>
      <c r="U84" s="1">
        <f>VLOOKUP($N84,AF!$B$39:$M$80,U$9)*$J84</f>
        <v>0</v>
      </c>
      <c r="V84" s="1">
        <f>VLOOKUP($N84,AF!$B$39:$M$80,V$9)*$J84</f>
        <v>0</v>
      </c>
      <c r="W84" s="1">
        <f t="shared" si="95"/>
        <v>0</v>
      </c>
      <c r="Y84" s="1">
        <f t="shared" si="96"/>
        <v>0</v>
      </c>
      <c r="Z84" s="1">
        <f t="shared" si="97"/>
        <v>0</v>
      </c>
      <c r="AA84" s="1">
        <f t="shared" si="98"/>
        <v>0</v>
      </c>
      <c r="AB84" s="72">
        <f t="shared" si="99"/>
        <v>0</v>
      </c>
      <c r="AD84" s="72">
        <v>300</v>
      </c>
      <c r="AE84" s="1">
        <f>VLOOKUP($AD84,AF!$B$39:$M$80,AE$9)*$O84</f>
        <v>0</v>
      </c>
      <c r="AF84" s="1">
        <f>VLOOKUP($AD84,AF!$B$39:$M$80,AF$9)*$P84</f>
        <v>0</v>
      </c>
      <c r="AG84" s="1">
        <f>VLOOKUP($AD84,AF!$B$39:$M$80,AG$9)*$Q84</f>
        <v>0</v>
      </c>
      <c r="AH84" s="1">
        <f>VLOOKUP($AD84,AF!$B$39:$M$80,AH$9)*$R84</f>
        <v>0</v>
      </c>
      <c r="AI84" s="1">
        <f>VLOOKUP($AD84,AF!$B$39:$M$80,AI$9)*$S84</f>
        <v>0</v>
      </c>
      <c r="AJ84" s="1">
        <f>VLOOKUP($AD84,AF!$B$39:$M$80,AJ$9)*$T84</f>
        <v>0</v>
      </c>
      <c r="AK84" s="1">
        <f>VLOOKUP($AD84,AF!$B$39:$M$80,AK$9)*$U84</f>
        <v>0</v>
      </c>
      <c r="AL84" s="1">
        <f>VLOOKUP($AD84,AF!$B$39:$M$80,AL$9)*$V84</f>
        <v>0</v>
      </c>
      <c r="AM84" s="1">
        <f t="shared" si="100"/>
        <v>0</v>
      </c>
      <c r="AO84" s="1">
        <f t="shared" si="101"/>
        <v>0</v>
      </c>
      <c r="AP84" s="1">
        <f t="shared" si="102"/>
        <v>0</v>
      </c>
      <c r="AQ84" s="1">
        <f t="shared" si="103"/>
        <v>0</v>
      </c>
      <c r="AR84" s="72">
        <f t="shared" si="104"/>
        <v>0</v>
      </c>
    </row>
    <row r="85" spans="1:44" x14ac:dyDescent="0.45">
      <c r="A85" s="161">
        <f t="shared" si="105"/>
        <v>77</v>
      </c>
      <c r="B85" s="57">
        <v>565</v>
      </c>
      <c r="C85" s="34" t="s">
        <v>46</v>
      </c>
      <c r="D85" s="34" t="s">
        <v>49</v>
      </c>
      <c r="E85" s="28">
        <v>68352807</v>
      </c>
      <c r="F85" s="8">
        <v>101</v>
      </c>
      <c r="G85" s="1">
        <f>VLOOKUP($F85,AF!$B$39:$M$80,G$9)*$E85</f>
        <v>0</v>
      </c>
      <c r="H85" s="1">
        <f>VLOOKUP($F85,AF!$B$39:$M$80,H$9)*$E85</f>
        <v>0</v>
      </c>
      <c r="I85" s="1">
        <f>VLOOKUP($F85,AF!$B$39:$M$80,I$9)*$E85</f>
        <v>0</v>
      </c>
      <c r="J85" s="1">
        <f>VLOOKUP($F85,AF!$B$39:$M$80,J$9)*$E85</f>
        <v>0</v>
      </c>
      <c r="K85" s="1">
        <f t="shared" si="93"/>
        <v>68352807</v>
      </c>
      <c r="L85" s="72">
        <f t="shared" si="94"/>
        <v>0</v>
      </c>
      <c r="N85" s="8">
        <v>206</v>
      </c>
      <c r="O85" s="1">
        <f>VLOOKUP($N85,AF!$B$39:$M$80,O$9)*$G85</f>
        <v>0</v>
      </c>
      <c r="P85" s="1">
        <f>VLOOKUP($N85,AF!$B$39:$M$80,P$9)*$G85</f>
        <v>0</v>
      </c>
      <c r="Q85" s="1">
        <f>VLOOKUP($N85,AF!$B$39:$M$80,Q$9)*$H85</f>
        <v>0</v>
      </c>
      <c r="R85" s="1">
        <f>VLOOKUP($N85,AF!$B$39:$M$80,R$9)*$H85</f>
        <v>0</v>
      </c>
      <c r="S85" s="1">
        <f>VLOOKUP($N85,AF!$B$39:$M$80,S$9)*$I85</f>
        <v>0</v>
      </c>
      <c r="T85" s="1">
        <f>VLOOKUP($N85,AF!$B$39:$M$80,T$9)*$I85</f>
        <v>0</v>
      </c>
      <c r="U85" s="1">
        <f>VLOOKUP($N85,AF!$B$39:$M$80,U$9)*$J85</f>
        <v>0</v>
      </c>
      <c r="V85" s="1">
        <f>VLOOKUP($N85,AF!$B$39:$M$80,V$9)*$J85</f>
        <v>0</v>
      </c>
      <c r="W85" s="1">
        <f t="shared" si="95"/>
        <v>68352807</v>
      </c>
      <c r="Y85" s="1">
        <f t="shared" si="96"/>
        <v>0</v>
      </c>
      <c r="Z85" s="1">
        <f t="shared" si="97"/>
        <v>0</v>
      </c>
      <c r="AA85" s="1">
        <f t="shared" si="98"/>
        <v>68352807</v>
      </c>
      <c r="AB85" s="72">
        <f t="shared" si="99"/>
        <v>0</v>
      </c>
      <c r="AD85" s="72">
        <v>300</v>
      </c>
      <c r="AE85" s="1">
        <f>VLOOKUP($AD85,AF!$B$39:$M$80,AE$9)*$O85</f>
        <v>0</v>
      </c>
      <c r="AF85" s="1">
        <f>VLOOKUP($AD85,AF!$B$39:$M$80,AF$9)*$P85</f>
        <v>0</v>
      </c>
      <c r="AG85" s="1">
        <f>VLOOKUP($AD85,AF!$B$39:$M$80,AG$9)*$Q85</f>
        <v>0</v>
      </c>
      <c r="AH85" s="1">
        <f>VLOOKUP($AD85,AF!$B$39:$M$80,AH$9)*$R85</f>
        <v>0</v>
      </c>
      <c r="AI85" s="1">
        <f>VLOOKUP($AD85,AF!$B$39:$M$80,AI$9)*$S85</f>
        <v>0</v>
      </c>
      <c r="AJ85" s="1">
        <f>VLOOKUP($AD85,AF!$B$39:$M$80,AJ$9)*$T85</f>
        <v>0</v>
      </c>
      <c r="AK85" s="1">
        <f>VLOOKUP($AD85,AF!$B$39:$M$80,AK$9)*$U85</f>
        <v>0</v>
      </c>
      <c r="AL85" s="1">
        <f>VLOOKUP($AD85,AF!$B$39:$M$80,AL$9)*$V85</f>
        <v>0</v>
      </c>
      <c r="AM85" s="1">
        <f t="shared" si="100"/>
        <v>68352807</v>
      </c>
      <c r="AO85" s="1">
        <f t="shared" si="101"/>
        <v>0</v>
      </c>
      <c r="AP85" s="1">
        <f t="shared" si="102"/>
        <v>0</v>
      </c>
      <c r="AQ85" s="1">
        <f t="shared" si="103"/>
        <v>68352807</v>
      </c>
      <c r="AR85" s="72">
        <f t="shared" si="104"/>
        <v>0</v>
      </c>
    </row>
    <row r="86" spans="1:44" x14ac:dyDescent="0.45">
      <c r="A86" s="118">
        <f t="shared" si="105"/>
        <v>78</v>
      </c>
      <c r="B86" s="57" t="s">
        <v>601</v>
      </c>
      <c r="C86" s="57" t="s">
        <v>602</v>
      </c>
      <c r="D86" s="34"/>
      <c r="E86" s="17">
        <f>SUM(G86:K86)</f>
        <v>0</v>
      </c>
      <c r="F86" s="8">
        <v>100</v>
      </c>
      <c r="G86" s="25">
        <v>0</v>
      </c>
      <c r="H86" s="25">
        <v>0</v>
      </c>
      <c r="I86" s="25">
        <v>0</v>
      </c>
      <c r="J86" s="25">
        <v>0</v>
      </c>
      <c r="K86" s="25">
        <v>0</v>
      </c>
      <c r="L86" s="72">
        <f t="shared" si="94"/>
        <v>0</v>
      </c>
      <c r="N86" s="8">
        <v>202</v>
      </c>
      <c r="O86" s="1">
        <f>VLOOKUP($N86,AF!$B$39:$M$80,O$9)*$G86</f>
        <v>0</v>
      </c>
      <c r="P86" s="1">
        <f>VLOOKUP($N86,AF!$B$39:$M$80,P$9)*$G86</f>
        <v>0</v>
      </c>
      <c r="Q86" s="1">
        <f>VLOOKUP($N86,AF!$B$39:$M$80,Q$9)*$H86</f>
        <v>0</v>
      </c>
      <c r="R86" s="1">
        <f>VLOOKUP($N86,AF!$B$39:$M$80,R$9)*$H86</f>
        <v>0</v>
      </c>
      <c r="S86" s="1">
        <f>VLOOKUP($N86,AF!$B$39:$M$80,S$9)*$I86</f>
        <v>0</v>
      </c>
      <c r="T86" s="1">
        <f>VLOOKUP($N86,AF!$B$39:$M$80,T$9)*$I86</f>
        <v>0</v>
      </c>
      <c r="U86" s="1">
        <f>VLOOKUP($N86,AF!$B$39:$M$80,U$9)*$J86</f>
        <v>0</v>
      </c>
      <c r="V86" s="1">
        <f>VLOOKUP($N86,AF!$B$39:$M$80,V$9)*$J86</f>
        <v>0</v>
      </c>
      <c r="W86" s="1">
        <f t="shared" si="95"/>
        <v>0</v>
      </c>
      <c r="Y86" s="1">
        <f t="shared" si="96"/>
        <v>0</v>
      </c>
      <c r="Z86" s="1">
        <f t="shared" si="97"/>
        <v>0</v>
      </c>
      <c r="AA86" s="1">
        <f t="shared" si="98"/>
        <v>0</v>
      </c>
      <c r="AB86" s="72">
        <f t="shared" si="99"/>
        <v>0</v>
      </c>
      <c r="AD86" s="72">
        <v>300</v>
      </c>
      <c r="AE86" s="1">
        <f>VLOOKUP($AD86,AF!$B$39:$M$80,AE$9)*$O86</f>
        <v>0</v>
      </c>
      <c r="AF86" s="1">
        <f>VLOOKUP($AD86,AF!$B$39:$M$80,AF$9)*$P86</f>
        <v>0</v>
      </c>
      <c r="AG86" s="1">
        <f>VLOOKUP($AD86,AF!$B$39:$M$80,AG$9)*$Q86</f>
        <v>0</v>
      </c>
      <c r="AH86" s="1">
        <f>VLOOKUP($AD86,AF!$B$39:$M$80,AH$9)*$R86</f>
        <v>0</v>
      </c>
      <c r="AI86" s="1">
        <f>VLOOKUP($AD86,AF!$B$39:$M$80,AI$9)*$S86</f>
        <v>0</v>
      </c>
      <c r="AJ86" s="1">
        <f>VLOOKUP($AD86,AF!$B$39:$M$80,AJ$9)*$T86</f>
        <v>0</v>
      </c>
      <c r="AK86" s="1">
        <f>VLOOKUP($AD86,AF!$B$39:$M$80,AK$9)*$U86</f>
        <v>0</v>
      </c>
      <c r="AL86" s="1">
        <f>VLOOKUP($AD86,AF!$B$39:$M$80,AL$9)*$V86</f>
        <v>0</v>
      </c>
      <c r="AM86" s="1">
        <f t="shared" si="100"/>
        <v>0</v>
      </c>
      <c r="AO86" s="1">
        <f t="shared" si="101"/>
        <v>0</v>
      </c>
      <c r="AP86" s="1">
        <f t="shared" si="102"/>
        <v>0</v>
      </c>
      <c r="AQ86" s="1">
        <f t="shared" si="103"/>
        <v>0</v>
      </c>
      <c r="AR86" s="72">
        <f t="shared" si="104"/>
        <v>0</v>
      </c>
    </row>
    <row r="87" spans="1:44" x14ac:dyDescent="0.45">
      <c r="A87" s="118">
        <f t="shared" si="105"/>
        <v>79</v>
      </c>
      <c r="B87" s="57">
        <v>566</v>
      </c>
      <c r="C87" s="34" t="s">
        <v>295</v>
      </c>
      <c r="D87" s="34" t="s">
        <v>296</v>
      </c>
      <c r="E87" s="28">
        <v>721466</v>
      </c>
      <c r="F87" s="8">
        <v>101</v>
      </c>
      <c r="G87" s="1">
        <f>VLOOKUP($F87,AF!$B$39:$M$80,G$9)*$E87</f>
        <v>0</v>
      </c>
      <c r="H87" s="1">
        <f>VLOOKUP($F87,AF!$B$39:$M$80,H$9)*$E87</f>
        <v>0</v>
      </c>
      <c r="I87" s="1">
        <f>VLOOKUP($F87,AF!$B$39:$M$80,I$9)*$E87</f>
        <v>0</v>
      </c>
      <c r="J87" s="1">
        <f>VLOOKUP($F87,AF!$B$39:$M$80,J$9)*$E87</f>
        <v>0</v>
      </c>
      <c r="K87" s="1">
        <f t="shared" si="93"/>
        <v>721466</v>
      </c>
      <c r="L87" s="72">
        <f t="shared" si="94"/>
        <v>0</v>
      </c>
      <c r="N87" s="8">
        <v>206</v>
      </c>
      <c r="O87" s="1">
        <f>VLOOKUP($N87,AF!$B$39:$M$80,O$9)*$G87</f>
        <v>0</v>
      </c>
      <c r="P87" s="1">
        <f>VLOOKUP($N87,AF!$B$39:$M$80,P$9)*$G87</f>
        <v>0</v>
      </c>
      <c r="Q87" s="1">
        <f>VLOOKUP($N87,AF!$B$39:$M$80,Q$9)*$H87</f>
        <v>0</v>
      </c>
      <c r="R87" s="1">
        <f>VLOOKUP($N87,AF!$B$39:$M$80,R$9)*$H87</f>
        <v>0</v>
      </c>
      <c r="S87" s="1">
        <f>VLOOKUP($N87,AF!$B$39:$M$80,S$9)*$I87</f>
        <v>0</v>
      </c>
      <c r="T87" s="1">
        <f>VLOOKUP($N87,AF!$B$39:$M$80,T$9)*$I87</f>
        <v>0</v>
      </c>
      <c r="U87" s="1">
        <f>VLOOKUP($N87,AF!$B$39:$M$80,U$9)*$J87</f>
        <v>0</v>
      </c>
      <c r="V87" s="1">
        <f>VLOOKUP($N87,AF!$B$39:$M$80,V$9)*$J87</f>
        <v>0</v>
      </c>
      <c r="W87" s="1">
        <f t="shared" si="95"/>
        <v>721466</v>
      </c>
      <c r="Y87" s="1">
        <f t="shared" si="96"/>
        <v>0</v>
      </c>
      <c r="Z87" s="1">
        <f t="shared" si="97"/>
        <v>0</v>
      </c>
      <c r="AA87" s="1">
        <f t="shared" si="98"/>
        <v>721466</v>
      </c>
      <c r="AB87" s="72">
        <f t="shared" si="99"/>
        <v>0</v>
      </c>
      <c r="AD87" s="72">
        <v>300</v>
      </c>
      <c r="AE87" s="1">
        <f>VLOOKUP($AD87,AF!$B$39:$M$80,AE$9)*$O87</f>
        <v>0</v>
      </c>
      <c r="AF87" s="1">
        <f>VLOOKUP($AD87,AF!$B$39:$M$80,AF$9)*$P87</f>
        <v>0</v>
      </c>
      <c r="AG87" s="1">
        <f>VLOOKUP($AD87,AF!$B$39:$M$80,AG$9)*$Q87</f>
        <v>0</v>
      </c>
      <c r="AH87" s="1">
        <f>VLOOKUP($AD87,AF!$B$39:$M$80,AH$9)*$R87</f>
        <v>0</v>
      </c>
      <c r="AI87" s="1">
        <f>VLOOKUP($AD87,AF!$B$39:$M$80,AI$9)*$S87</f>
        <v>0</v>
      </c>
      <c r="AJ87" s="1">
        <f>VLOOKUP($AD87,AF!$B$39:$M$80,AJ$9)*$T87</f>
        <v>0</v>
      </c>
      <c r="AK87" s="1">
        <f>VLOOKUP($AD87,AF!$B$39:$M$80,AK$9)*$U87</f>
        <v>0</v>
      </c>
      <c r="AL87" s="1">
        <f>VLOOKUP($AD87,AF!$B$39:$M$80,AL$9)*$V87</f>
        <v>0</v>
      </c>
      <c r="AM87" s="1">
        <f t="shared" si="100"/>
        <v>721466</v>
      </c>
      <c r="AO87" s="1">
        <f t="shared" si="101"/>
        <v>0</v>
      </c>
      <c r="AP87" s="1">
        <f t="shared" si="102"/>
        <v>0</v>
      </c>
      <c r="AQ87" s="1">
        <f t="shared" si="103"/>
        <v>721466</v>
      </c>
      <c r="AR87" s="72">
        <f t="shared" si="104"/>
        <v>0</v>
      </c>
    </row>
    <row r="88" spans="1:44" x14ac:dyDescent="0.45">
      <c r="A88" s="118">
        <f t="shared" si="105"/>
        <v>80</v>
      </c>
      <c r="B88" s="57" t="s">
        <v>603</v>
      </c>
      <c r="C88" s="57" t="s">
        <v>604</v>
      </c>
      <c r="D88" s="34"/>
      <c r="E88" s="17">
        <f>SUM(G88:K88)</f>
        <v>0</v>
      </c>
      <c r="F88" s="8">
        <v>101</v>
      </c>
      <c r="G88" s="25">
        <v>0</v>
      </c>
      <c r="H88" s="25">
        <v>0</v>
      </c>
      <c r="I88" s="25">
        <v>0</v>
      </c>
      <c r="J88" s="25">
        <v>0</v>
      </c>
      <c r="K88" s="25">
        <v>0</v>
      </c>
      <c r="L88" s="72">
        <f t="shared" si="94"/>
        <v>0</v>
      </c>
      <c r="N88" s="8">
        <v>202</v>
      </c>
      <c r="O88" s="1">
        <f>VLOOKUP($N88,AF!$B$39:$M$80,O$9)*$G88</f>
        <v>0</v>
      </c>
      <c r="P88" s="1">
        <f>VLOOKUP($N88,AF!$B$39:$M$80,P$9)*$G88</f>
        <v>0</v>
      </c>
      <c r="Q88" s="1">
        <f>VLOOKUP($N88,AF!$B$39:$M$80,Q$9)*$H88</f>
        <v>0</v>
      </c>
      <c r="R88" s="1">
        <f>VLOOKUP($N88,AF!$B$39:$M$80,R$9)*$H88</f>
        <v>0</v>
      </c>
      <c r="S88" s="1">
        <f>VLOOKUP($N88,AF!$B$39:$M$80,S$9)*$I88</f>
        <v>0</v>
      </c>
      <c r="T88" s="1">
        <f>VLOOKUP($N88,AF!$B$39:$M$80,T$9)*$I88</f>
        <v>0</v>
      </c>
      <c r="U88" s="1">
        <f>VLOOKUP($N88,AF!$B$39:$M$80,U$9)*$J88</f>
        <v>0</v>
      </c>
      <c r="V88" s="1">
        <f>VLOOKUP($N88,AF!$B$39:$M$80,V$9)*$J88</f>
        <v>0</v>
      </c>
      <c r="W88" s="1">
        <f t="shared" si="95"/>
        <v>0</v>
      </c>
      <c r="Y88" s="1">
        <f t="shared" si="96"/>
        <v>0</v>
      </c>
      <c r="Z88" s="1">
        <f t="shared" si="97"/>
        <v>0</v>
      </c>
      <c r="AA88" s="1">
        <f t="shared" si="98"/>
        <v>0</v>
      </c>
      <c r="AB88" s="72">
        <f t="shared" si="99"/>
        <v>0</v>
      </c>
      <c r="AD88" s="72">
        <v>300</v>
      </c>
      <c r="AE88" s="1">
        <f>VLOOKUP($AD88,AF!$B$39:$M$80,AE$9)*$O88</f>
        <v>0</v>
      </c>
      <c r="AF88" s="1">
        <f>VLOOKUP($AD88,AF!$B$39:$M$80,AF$9)*$P88</f>
        <v>0</v>
      </c>
      <c r="AG88" s="1">
        <f>VLOOKUP($AD88,AF!$B$39:$M$80,AG$9)*$Q88</f>
        <v>0</v>
      </c>
      <c r="AH88" s="1">
        <f>VLOOKUP($AD88,AF!$B$39:$M$80,AH$9)*$R88</f>
        <v>0</v>
      </c>
      <c r="AI88" s="1">
        <f>VLOOKUP($AD88,AF!$B$39:$M$80,AI$9)*$S88</f>
        <v>0</v>
      </c>
      <c r="AJ88" s="1">
        <f>VLOOKUP($AD88,AF!$B$39:$M$80,AJ$9)*$T88</f>
        <v>0</v>
      </c>
      <c r="AK88" s="1">
        <f>VLOOKUP($AD88,AF!$B$39:$M$80,AK$9)*$U88</f>
        <v>0</v>
      </c>
      <c r="AL88" s="1">
        <f>VLOOKUP($AD88,AF!$B$39:$M$80,AL$9)*$V88</f>
        <v>0</v>
      </c>
      <c r="AM88" s="1">
        <f t="shared" si="100"/>
        <v>0</v>
      </c>
      <c r="AO88" s="1">
        <f t="shared" si="101"/>
        <v>0</v>
      </c>
      <c r="AP88" s="1">
        <f t="shared" si="102"/>
        <v>0</v>
      </c>
      <c r="AQ88" s="1">
        <f t="shared" si="103"/>
        <v>0</v>
      </c>
      <c r="AR88" s="72">
        <f t="shared" si="104"/>
        <v>0</v>
      </c>
    </row>
    <row r="89" spans="1:44" x14ac:dyDescent="0.45">
      <c r="A89" s="118">
        <f t="shared" si="105"/>
        <v>81</v>
      </c>
      <c r="B89" s="57">
        <v>567</v>
      </c>
      <c r="C89" s="34" t="s">
        <v>61</v>
      </c>
      <c r="D89" s="34" t="s">
        <v>297</v>
      </c>
      <c r="E89" s="25">
        <v>0</v>
      </c>
      <c r="F89" s="72">
        <v>101</v>
      </c>
      <c r="G89" s="1">
        <f>VLOOKUP($F89,AF!$B$39:$M$80,G$9)*$E89</f>
        <v>0</v>
      </c>
      <c r="H89" s="1">
        <f>VLOOKUP($F89,AF!$B$39:$M$80,H$9)*$E89</f>
        <v>0</v>
      </c>
      <c r="I89" s="1">
        <f>VLOOKUP($F89,AF!$B$39:$M$80,I$9)*$E89</f>
        <v>0</v>
      </c>
      <c r="J89" s="1">
        <f>VLOOKUP($F89,AF!$B$39:$M$80,J$9)*$E89</f>
        <v>0</v>
      </c>
      <c r="K89" s="1">
        <f t="shared" si="93"/>
        <v>0</v>
      </c>
      <c r="L89" s="72">
        <f t="shared" si="94"/>
        <v>0</v>
      </c>
      <c r="N89" s="8">
        <v>206</v>
      </c>
      <c r="O89" s="1">
        <f>VLOOKUP($N89,AF!$B$39:$M$80,O$9)*$G89</f>
        <v>0</v>
      </c>
      <c r="P89" s="1">
        <f>VLOOKUP($N89,AF!$B$39:$M$80,P$9)*$G89</f>
        <v>0</v>
      </c>
      <c r="Q89" s="1">
        <f>VLOOKUP($N89,AF!$B$39:$M$80,Q$9)*$H89</f>
        <v>0</v>
      </c>
      <c r="R89" s="1">
        <f>VLOOKUP($N89,AF!$B$39:$M$80,R$9)*$H89</f>
        <v>0</v>
      </c>
      <c r="S89" s="1">
        <f>VLOOKUP($N89,AF!$B$39:$M$80,S$9)*$I89</f>
        <v>0</v>
      </c>
      <c r="T89" s="1">
        <f>VLOOKUP($N89,AF!$B$39:$M$80,T$9)*$I89</f>
        <v>0</v>
      </c>
      <c r="U89" s="1">
        <f>VLOOKUP($N89,AF!$B$39:$M$80,U$9)*$J89</f>
        <v>0</v>
      </c>
      <c r="V89" s="1">
        <f>VLOOKUP($N89,AF!$B$39:$M$80,V$9)*$J89</f>
        <v>0</v>
      </c>
      <c r="W89" s="1">
        <f t="shared" si="95"/>
        <v>0</v>
      </c>
      <c r="Y89" s="1">
        <f t="shared" si="96"/>
        <v>0</v>
      </c>
      <c r="Z89" s="1">
        <f t="shared" si="97"/>
        <v>0</v>
      </c>
      <c r="AA89" s="1">
        <f t="shared" si="98"/>
        <v>0</v>
      </c>
      <c r="AB89" s="72">
        <f t="shared" si="99"/>
        <v>0</v>
      </c>
      <c r="AD89" s="72">
        <v>300</v>
      </c>
      <c r="AE89" s="1">
        <f>VLOOKUP($AD89,AF!$B$39:$M$80,AE$9)*$O89</f>
        <v>0</v>
      </c>
      <c r="AF89" s="1">
        <f>VLOOKUP($AD89,AF!$B$39:$M$80,AF$9)*$P89</f>
        <v>0</v>
      </c>
      <c r="AG89" s="1">
        <f>VLOOKUP($AD89,AF!$B$39:$M$80,AG$9)*$Q89</f>
        <v>0</v>
      </c>
      <c r="AH89" s="1">
        <f>VLOOKUP($AD89,AF!$B$39:$M$80,AH$9)*$R89</f>
        <v>0</v>
      </c>
      <c r="AI89" s="1">
        <f>VLOOKUP($AD89,AF!$B$39:$M$80,AI$9)*$S89</f>
        <v>0</v>
      </c>
      <c r="AJ89" s="1">
        <f>VLOOKUP($AD89,AF!$B$39:$M$80,AJ$9)*$T89</f>
        <v>0</v>
      </c>
      <c r="AK89" s="1">
        <f>VLOOKUP($AD89,AF!$B$39:$M$80,AK$9)*$U89</f>
        <v>0</v>
      </c>
      <c r="AL89" s="1">
        <f>VLOOKUP($AD89,AF!$B$39:$M$80,AL$9)*$V89</f>
        <v>0</v>
      </c>
      <c r="AM89" s="1">
        <f t="shared" si="100"/>
        <v>0</v>
      </c>
      <c r="AO89" s="1">
        <f t="shared" si="101"/>
        <v>0</v>
      </c>
      <c r="AP89" s="1">
        <f t="shared" si="102"/>
        <v>0</v>
      </c>
      <c r="AQ89" s="1">
        <f t="shared" si="103"/>
        <v>0</v>
      </c>
      <c r="AR89" s="72">
        <f t="shared" si="104"/>
        <v>0</v>
      </c>
    </row>
    <row r="90" spans="1:44" x14ac:dyDescent="0.45">
      <c r="A90" s="118">
        <f t="shared" si="105"/>
        <v>82</v>
      </c>
      <c r="B90" s="57" t="s">
        <v>605</v>
      </c>
      <c r="C90" s="57" t="s">
        <v>606</v>
      </c>
      <c r="D90" s="34"/>
      <c r="E90" s="17">
        <f>SUM(G90:K90)</f>
        <v>0</v>
      </c>
      <c r="F90" s="72">
        <v>101</v>
      </c>
      <c r="G90" s="25">
        <v>0</v>
      </c>
      <c r="H90" s="25">
        <v>0</v>
      </c>
      <c r="I90" s="25">
        <v>0</v>
      </c>
      <c r="J90" s="25">
        <v>0</v>
      </c>
      <c r="K90" s="25">
        <v>0</v>
      </c>
      <c r="L90" s="72">
        <f t="shared" si="94"/>
        <v>0</v>
      </c>
      <c r="N90" s="8">
        <v>202</v>
      </c>
      <c r="O90" s="1">
        <f>VLOOKUP($N90,AF!$B$39:$M$80,O$9)*$G90</f>
        <v>0</v>
      </c>
      <c r="P90" s="1">
        <f>VLOOKUP($N90,AF!$B$39:$M$80,P$9)*$G90</f>
        <v>0</v>
      </c>
      <c r="Q90" s="1">
        <f>VLOOKUP($N90,AF!$B$39:$M$80,Q$9)*$H90</f>
        <v>0</v>
      </c>
      <c r="R90" s="1">
        <f>VLOOKUP($N90,AF!$B$39:$M$80,R$9)*$H90</f>
        <v>0</v>
      </c>
      <c r="S90" s="1">
        <f>VLOOKUP($N90,AF!$B$39:$M$80,S$9)*$I90</f>
        <v>0</v>
      </c>
      <c r="T90" s="1">
        <f>VLOOKUP($N90,AF!$B$39:$M$80,T$9)*$I90</f>
        <v>0</v>
      </c>
      <c r="U90" s="1">
        <f>VLOOKUP($N90,AF!$B$39:$M$80,U$9)*$J90</f>
        <v>0</v>
      </c>
      <c r="V90" s="1">
        <f>VLOOKUP($N90,AF!$B$39:$M$80,V$9)*$J90</f>
        <v>0</v>
      </c>
      <c r="W90" s="1">
        <f t="shared" si="95"/>
        <v>0</v>
      </c>
      <c r="Y90" s="1">
        <f t="shared" si="96"/>
        <v>0</v>
      </c>
      <c r="Z90" s="1">
        <f t="shared" si="97"/>
        <v>0</v>
      </c>
      <c r="AA90" s="1">
        <f t="shared" si="98"/>
        <v>0</v>
      </c>
      <c r="AB90" s="72">
        <f t="shared" si="99"/>
        <v>0</v>
      </c>
      <c r="AD90" s="72">
        <v>300</v>
      </c>
      <c r="AE90" s="1">
        <f>VLOOKUP($AD90,AF!$B$39:$M$80,AE$9)*$O90</f>
        <v>0</v>
      </c>
      <c r="AF90" s="1">
        <f>VLOOKUP($AD90,AF!$B$39:$M$80,AF$9)*$P90</f>
        <v>0</v>
      </c>
      <c r="AG90" s="1">
        <f>VLOOKUP($AD90,AF!$B$39:$M$80,AG$9)*$Q90</f>
        <v>0</v>
      </c>
      <c r="AH90" s="1">
        <f>VLOOKUP($AD90,AF!$B$39:$M$80,AH$9)*$R90</f>
        <v>0</v>
      </c>
      <c r="AI90" s="1">
        <f>VLOOKUP($AD90,AF!$B$39:$M$80,AI$9)*$S90</f>
        <v>0</v>
      </c>
      <c r="AJ90" s="1">
        <f>VLOOKUP($AD90,AF!$B$39:$M$80,AJ$9)*$T90</f>
        <v>0</v>
      </c>
      <c r="AK90" s="1">
        <f>VLOOKUP($AD90,AF!$B$39:$M$80,AK$9)*$U90</f>
        <v>0</v>
      </c>
      <c r="AL90" s="1">
        <f>VLOOKUP($AD90,AF!$B$39:$M$80,AL$9)*$V90</f>
        <v>0</v>
      </c>
      <c r="AM90" s="1">
        <f t="shared" si="100"/>
        <v>0</v>
      </c>
      <c r="AO90" s="1">
        <f t="shared" si="101"/>
        <v>0</v>
      </c>
      <c r="AP90" s="1">
        <f t="shared" si="102"/>
        <v>0</v>
      </c>
      <c r="AQ90" s="1">
        <f t="shared" si="103"/>
        <v>0</v>
      </c>
      <c r="AR90" s="72">
        <f t="shared" si="104"/>
        <v>0</v>
      </c>
    </row>
    <row r="91" spans="1:44" x14ac:dyDescent="0.45">
      <c r="A91" s="118">
        <f t="shared" si="105"/>
        <v>83</v>
      </c>
      <c r="B91" s="34"/>
      <c r="C91" s="34" t="s">
        <v>0</v>
      </c>
      <c r="D91" s="34"/>
      <c r="E91" s="33">
        <f>SUM(E61:E90)</f>
        <v>70082646</v>
      </c>
      <c r="F91" s="72"/>
      <c r="G91" s="33">
        <f t="shared" ref="G91:K91" si="106">SUM(G61:G90)</f>
        <v>9402.0897421203445</v>
      </c>
      <c r="H91" s="33">
        <f t="shared" si="106"/>
        <v>29977.074785100289</v>
      </c>
      <c r="I91" s="33">
        <f t="shared" si="106"/>
        <v>98246.034269340977</v>
      </c>
      <c r="J91" s="33">
        <f t="shared" si="106"/>
        <v>0</v>
      </c>
      <c r="K91" s="33">
        <f t="shared" si="106"/>
        <v>69945020.801203445</v>
      </c>
      <c r="L91" s="72">
        <f t="shared" si="94"/>
        <v>0</v>
      </c>
      <c r="N91" s="72"/>
      <c r="O91" s="33">
        <f t="shared" ref="O91:W91" si="107">SUM(O61:O90)</f>
        <v>1567.0149570200572</v>
      </c>
      <c r="P91" s="33">
        <f t="shared" si="107"/>
        <v>7835.074785100287</v>
      </c>
      <c r="Q91" s="33">
        <f t="shared" si="107"/>
        <v>29977.074785100289</v>
      </c>
      <c r="R91" s="33">
        <f t="shared" si="107"/>
        <v>0</v>
      </c>
      <c r="S91" s="33">
        <f t="shared" si="107"/>
        <v>98246.034269340977</v>
      </c>
      <c r="T91" s="33">
        <f t="shared" si="107"/>
        <v>0</v>
      </c>
      <c r="U91" s="33">
        <f t="shared" si="107"/>
        <v>0</v>
      </c>
      <c r="V91" s="33">
        <f t="shared" si="107"/>
        <v>0</v>
      </c>
      <c r="W91" s="33">
        <f t="shared" si="107"/>
        <v>69945020.801203445</v>
      </c>
      <c r="Y91" s="33">
        <f t="shared" ref="Y91:AA91" si="108">SUM(Y61:Y90)</f>
        <v>129790.12401146132</v>
      </c>
      <c r="Z91" s="33">
        <f t="shared" si="108"/>
        <v>7835.074785100287</v>
      </c>
      <c r="AA91" s="33">
        <f t="shared" si="108"/>
        <v>70082646</v>
      </c>
      <c r="AB91" s="72">
        <f t="shared" si="99"/>
        <v>0</v>
      </c>
      <c r="AD91" s="72"/>
      <c r="AE91" s="33">
        <f t="shared" ref="AE91:AM91" si="109">SUM(AE61:AE90)</f>
        <v>1567.0149570200572</v>
      </c>
      <c r="AF91" s="33">
        <f t="shared" si="109"/>
        <v>7835.074785100287</v>
      </c>
      <c r="AG91" s="33">
        <f t="shared" si="109"/>
        <v>29977.074785100289</v>
      </c>
      <c r="AH91" s="33">
        <f t="shared" si="109"/>
        <v>0</v>
      </c>
      <c r="AI91" s="33">
        <f t="shared" si="109"/>
        <v>98246.034269340977</v>
      </c>
      <c r="AJ91" s="33">
        <f t="shared" si="109"/>
        <v>0</v>
      </c>
      <c r="AK91" s="33">
        <f t="shared" si="109"/>
        <v>0</v>
      </c>
      <c r="AL91" s="33">
        <f t="shared" si="109"/>
        <v>0</v>
      </c>
      <c r="AM91" s="33">
        <f t="shared" si="109"/>
        <v>69945020.801203445</v>
      </c>
      <c r="AO91" s="33">
        <f t="shared" ref="AO91:AQ91" si="110">SUM(AO61:AO90)</f>
        <v>129790.12401146132</v>
      </c>
      <c r="AP91" s="33">
        <f t="shared" si="110"/>
        <v>7835.074785100287</v>
      </c>
      <c r="AQ91" s="33">
        <f t="shared" si="110"/>
        <v>70082646</v>
      </c>
      <c r="AR91" s="72">
        <f t="shared" si="104"/>
        <v>0</v>
      </c>
    </row>
    <row r="92" spans="1:44" x14ac:dyDescent="0.45">
      <c r="A92" s="118">
        <f t="shared" si="105"/>
        <v>84</v>
      </c>
      <c r="B92" s="34"/>
      <c r="C92" s="34"/>
      <c r="D92" s="34"/>
      <c r="E92" s="34"/>
      <c r="F92" s="74"/>
      <c r="G92" s="88"/>
      <c r="H92" s="88"/>
      <c r="I92" s="88"/>
      <c r="J92" s="88"/>
      <c r="K92" s="88"/>
      <c r="L92" s="74"/>
      <c r="N92" s="74"/>
      <c r="O92" s="88"/>
      <c r="P92" s="88"/>
      <c r="Q92" s="88"/>
      <c r="R92" s="88"/>
      <c r="S92" s="88"/>
      <c r="T92" s="88"/>
      <c r="U92" s="88"/>
      <c r="V92" s="88"/>
      <c r="W92" s="88"/>
      <c r="Y92" s="88"/>
      <c r="Z92" s="88"/>
      <c r="AA92" s="88"/>
      <c r="AB92" s="74"/>
      <c r="AD92" s="74"/>
      <c r="AE92" s="88"/>
      <c r="AF92" s="88"/>
      <c r="AG92" s="88"/>
      <c r="AH92" s="88"/>
      <c r="AI92" s="88"/>
      <c r="AJ92" s="88"/>
      <c r="AK92" s="88"/>
      <c r="AL92" s="88"/>
      <c r="AM92" s="88"/>
      <c r="AO92" s="88"/>
      <c r="AP92" s="88"/>
      <c r="AQ92" s="88"/>
      <c r="AR92" s="74"/>
    </row>
    <row r="93" spans="1:44" x14ac:dyDescent="0.45">
      <c r="A93" s="118">
        <f t="shared" si="105"/>
        <v>85</v>
      </c>
      <c r="B93" s="35" t="s">
        <v>406</v>
      </c>
      <c r="C93" s="35"/>
      <c r="D93" s="34"/>
      <c r="E93" s="34"/>
      <c r="F93" s="74"/>
      <c r="G93" s="88"/>
      <c r="H93" s="88"/>
      <c r="I93" s="88"/>
      <c r="J93" s="88"/>
      <c r="K93" s="88"/>
      <c r="L93" s="74"/>
      <c r="N93" s="74"/>
      <c r="O93" s="88"/>
      <c r="P93" s="88"/>
      <c r="Q93" s="88"/>
      <c r="R93" s="88"/>
      <c r="S93" s="88"/>
      <c r="T93" s="88"/>
      <c r="U93" s="88"/>
      <c r="V93" s="88"/>
      <c r="W93" s="88"/>
      <c r="Y93" s="88"/>
      <c r="Z93" s="88"/>
      <c r="AA93" s="88"/>
      <c r="AB93" s="74"/>
      <c r="AD93" s="74"/>
      <c r="AE93" s="88"/>
      <c r="AF93" s="88"/>
      <c r="AG93" s="88"/>
      <c r="AH93" s="88"/>
      <c r="AI93" s="88"/>
      <c r="AJ93" s="88"/>
      <c r="AK93" s="88"/>
      <c r="AL93" s="88"/>
      <c r="AM93" s="88"/>
      <c r="AO93" s="88"/>
      <c r="AP93" s="88"/>
      <c r="AQ93" s="88"/>
      <c r="AR93" s="74"/>
    </row>
    <row r="94" spans="1:44" x14ac:dyDescent="0.45">
      <c r="A94" s="118">
        <f t="shared" si="105"/>
        <v>86</v>
      </c>
      <c r="B94" s="79">
        <v>568</v>
      </c>
      <c r="C94" s="37" t="s">
        <v>269</v>
      </c>
      <c r="D94" s="34" t="s">
        <v>298</v>
      </c>
      <c r="E94" s="25">
        <v>0</v>
      </c>
      <c r="F94" s="8">
        <v>101</v>
      </c>
      <c r="G94" s="1">
        <f>VLOOKUP($F94,AF!$B$39:$M$80,G$9)*$E94</f>
        <v>0</v>
      </c>
      <c r="H94" s="1">
        <f>VLOOKUP($F94,AF!$B$39:$M$80,H$9)*$E94</f>
        <v>0</v>
      </c>
      <c r="I94" s="1">
        <f>VLOOKUP($F94,AF!$B$39:$M$80,I$9)*$E94</f>
        <v>0</v>
      </c>
      <c r="J94" s="1">
        <f>VLOOKUP($F94,AF!$B$39:$M$80,J$9)*$E94</f>
        <v>0</v>
      </c>
      <c r="K94" s="1">
        <f t="shared" ref="K94" si="111">E94-SUM(G94:J94)</f>
        <v>0</v>
      </c>
      <c r="L94" s="72">
        <f t="shared" ref="L94:L114" si="112">$E94-SUM(G94:K94)</f>
        <v>0</v>
      </c>
      <c r="N94" s="8">
        <v>206</v>
      </c>
      <c r="O94" s="1">
        <f>VLOOKUP($N94,AF!$B$39:$M$80,O$9)*$G94</f>
        <v>0</v>
      </c>
      <c r="P94" s="1">
        <f>VLOOKUP($N94,AF!$B$39:$M$80,P$9)*$G94</f>
        <v>0</v>
      </c>
      <c r="Q94" s="1">
        <f>VLOOKUP($N94,AF!$B$39:$M$80,Q$9)*$H94</f>
        <v>0</v>
      </c>
      <c r="R94" s="1">
        <f>VLOOKUP($N94,AF!$B$39:$M$80,R$9)*$H94</f>
        <v>0</v>
      </c>
      <c r="S94" s="1">
        <f>VLOOKUP($N94,AF!$B$39:$M$80,S$9)*$I94</f>
        <v>0</v>
      </c>
      <c r="T94" s="1">
        <f>VLOOKUP($N94,AF!$B$39:$M$80,T$9)*$I94</f>
        <v>0</v>
      </c>
      <c r="U94" s="1">
        <f>VLOOKUP($N94,AF!$B$39:$M$80,U$9)*$J94</f>
        <v>0</v>
      </c>
      <c r="V94" s="1">
        <f>VLOOKUP($N94,AF!$B$39:$M$80,V$9)*$J94</f>
        <v>0</v>
      </c>
      <c r="W94" s="1">
        <f t="shared" ref="W94:W113" si="113">E94-SUM(O94:V94)</f>
        <v>0</v>
      </c>
      <c r="Y94" s="1">
        <f t="shared" ref="Y94:Y113" si="114">+O94+Q94+S94+U94</f>
        <v>0</v>
      </c>
      <c r="Z94" s="1">
        <f t="shared" ref="Z94:Z113" si="115">+P94+R94+T94+V94</f>
        <v>0</v>
      </c>
      <c r="AA94" s="1">
        <f t="shared" ref="AA94:AA113" si="116">+Z94+Y94+W94</f>
        <v>0</v>
      </c>
      <c r="AB94" s="72">
        <f t="shared" ref="AB94:AB114" si="117">$E94-AA94</f>
        <v>0</v>
      </c>
      <c r="AD94" s="72">
        <v>300</v>
      </c>
      <c r="AE94" s="1">
        <f>VLOOKUP($AD94,AF!$B$39:$M$80,AE$9)*$O94</f>
        <v>0</v>
      </c>
      <c r="AF94" s="1">
        <f>VLOOKUP($AD94,AF!$B$39:$M$80,AF$9)*$P94</f>
        <v>0</v>
      </c>
      <c r="AG94" s="1">
        <f>VLOOKUP($AD94,AF!$B$39:$M$80,AG$9)*$Q94</f>
        <v>0</v>
      </c>
      <c r="AH94" s="1">
        <f>VLOOKUP($AD94,AF!$B$39:$M$80,AH$9)*$R94</f>
        <v>0</v>
      </c>
      <c r="AI94" s="1">
        <f>VLOOKUP($AD94,AF!$B$39:$M$80,AI$9)*$S94</f>
        <v>0</v>
      </c>
      <c r="AJ94" s="1">
        <f>VLOOKUP($AD94,AF!$B$39:$M$80,AJ$9)*$T94</f>
        <v>0</v>
      </c>
      <c r="AK94" s="1">
        <f>VLOOKUP($AD94,AF!$B$39:$M$80,AK$9)*$U94</f>
        <v>0</v>
      </c>
      <c r="AL94" s="1">
        <f>VLOOKUP($AD94,AF!$B$39:$M$80,AL$9)*$V94</f>
        <v>0</v>
      </c>
      <c r="AM94" s="1">
        <f t="shared" ref="AM94:AM113" si="118">E94-SUM(AE94:AL94)</f>
        <v>0</v>
      </c>
      <c r="AO94" s="1">
        <f t="shared" ref="AO94:AO113" si="119">+AE94+AG94+AI94+AK94</f>
        <v>0</v>
      </c>
      <c r="AP94" s="1">
        <f t="shared" ref="AP94:AP113" si="120">+AF94+AH94+AJ94+AL94</f>
        <v>0</v>
      </c>
      <c r="AQ94" s="1">
        <f t="shared" ref="AQ94:AQ113" si="121">+AP94+AO94+AM94</f>
        <v>0</v>
      </c>
      <c r="AR94" s="72">
        <f t="shared" ref="AR94:AR114" si="122">$E94-AQ94</f>
        <v>0</v>
      </c>
    </row>
    <row r="95" spans="1:44" x14ac:dyDescent="0.45">
      <c r="A95" s="118">
        <f t="shared" si="105"/>
        <v>87</v>
      </c>
      <c r="B95" s="79" t="s">
        <v>607</v>
      </c>
      <c r="C95" s="79" t="s">
        <v>608</v>
      </c>
      <c r="D95" s="34"/>
      <c r="E95" s="17">
        <f>SUM(G95:K95)</f>
        <v>0</v>
      </c>
      <c r="F95" s="8">
        <v>100</v>
      </c>
      <c r="G95" s="25">
        <v>0</v>
      </c>
      <c r="H95" s="25">
        <v>0</v>
      </c>
      <c r="I95" s="25">
        <v>0</v>
      </c>
      <c r="J95" s="25">
        <v>0</v>
      </c>
      <c r="K95" s="25">
        <v>0</v>
      </c>
      <c r="L95" s="72">
        <f t="shared" si="112"/>
        <v>0</v>
      </c>
      <c r="N95" s="8">
        <v>202</v>
      </c>
      <c r="O95" s="1">
        <f>VLOOKUP($N95,AF!$B$39:$M$80,O$9)*$G95</f>
        <v>0</v>
      </c>
      <c r="P95" s="1">
        <f>VLOOKUP($N95,AF!$B$39:$M$80,P$9)*$G95</f>
        <v>0</v>
      </c>
      <c r="Q95" s="1">
        <f>VLOOKUP($N95,AF!$B$39:$M$80,Q$9)*$H95</f>
        <v>0</v>
      </c>
      <c r="R95" s="1">
        <f>VLOOKUP($N95,AF!$B$39:$M$80,R$9)*$H95</f>
        <v>0</v>
      </c>
      <c r="S95" s="1">
        <f>VLOOKUP($N95,AF!$B$39:$M$80,S$9)*$I95</f>
        <v>0</v>
      </c>
      <c r="T95" s="1">
        <f>VLOOKUP($N95,AF!$B$39:$M$80,T$9)*$I95</f>
        <v>0</v>
      </c>
      <c r="U95" s="1">
        <f>VLOOKUP($N95,AF!$B$39:$M$80,U$9)*$J95</f>
        <v>0</v>
      </c>
      <c r="V95" s="1">
        <f>VLOOKUP($N95,AF!$B$39:$M$80,V$9)*$J95</f>
        <v>0</v>
      </c>
      <c r="W95" s="1">
        <f t="shared" si="113"/>
        <v>0</v>
      </c>
      <c r="Y95" s="1">
        <f t="shared" si="114"/>
        <v>0</v>
      </c>
      <c r="Z95" s="1">
        <f t="shared" si="115"/>
        <v>0</v>
      </c>
      <c r="AA95" s="1">
        <f t="shared" si="116"/>
        <v>0</v>
      </c>
      <c r="AB95" s="72">
        <f t="shared" si="117"/>
        <v>0</v>
      </c>
      <c r="AD95" s="72">
        <v>300</v>
      </c>
      <c r="AE95" s="1">
        <f>VLOOKUP($AD95,AF!$B$39:$M$80,AE$9)*$O95</f>
        <v>0</v>
      </c>
      <c r="AF95" s="1">
        <f>VLOOKUP($AD95,AF!$B$39:$M$80,AF$9)*$P95</f>
        <v>0</v>
      </c>
      <c r="AG95" s="1">
        <f>VLOOKUP($AD95,AF!$B$39:$M$80,AG$9)*$Q95</f>
        <v>0</v>
      </c>
      <c r="AH95" s="1">
        <f>VLOOKUP($AD95,AF!$B$39:$M$80,AH$9)*$R95</f>
        <v>0</v>
      </c>
      <c r="AI95" s="1">
        <f>VLOOKUP($AD95,AF!$B$39:$M$80,AI$9)*$S95</f>
        <v>0</v>
      </c>
      <c r="AJ95" s="1">
        <f>VLOOKUP($AD95,AF!$B$39:$M$80,AJ$9)*$T95</f>
        <v>0</v>
      </c>
      <c r="AK95" s="1">
        <f>VLOOKUP($AD95,AF!$B$39:$M$80,AK$9)*$U95</f>
        <v>0</v>
      </c>
      <c r="AL95" s="1">
        <f>VLOOKUP($AD95,AF!$B$39:$M$80,AL$9)*$V95</f>
        <v>0</v>
      </c>
      <c r="AM95" s="1">
        <f t="shared" si="118"/>
        <v>0</v>
      </c>
      <c r="AO95" s="1">
        <f t="shared" si="119"/>
        <v>0</v>
      </c>
      <c r="AP95" s="1">
        <f t="shared" si="120"/>
        <v>0</v>
      </c>
      <c r="AQ95" s="1">
        <f t="shared" si="121"/>
        <v>0</v>
      </c>
      <c r="AR95" s="72">
        <f t="shared" si="122"/>
        <v>0</v>
      </c>
    </row>
    <row r="96" spans="1:44" x14ac:dyDescent="0.45">
      <c r="A96" s="118">
        <f t="shared" si="105"/>
        <v>88</v>
      </c>
      <c r="B96" s="79">
        <v>569</v>
      </c>
      <c r="C96" s="37" t="s">
        <v>271</v>
      </c>
      <c r="D96" s="34" t="s">
        <v>386</v>
      </c>
      <c r="E96" s="25">
        <v>0</v>
      </c>
      <c r="F96" s="8">
        <v>101</v>
      </c>
      <c r="G96" s="1">
        <f>VLOOKUP($F96,AF!$B$39:$M$80,G$9)*$E96</f>
        <v>0</v>
      </c>
      <c r="H96" s="1">
        <f>VLOOKUP($F96,AF!$B$39:$M$80,H$9)*$E96</f>
        <v>0</v>
      </c>
      <c r="I96" s="1">
        <f>VLOOKUP($F96,AF!$B$39:$M$80,I$9)*$E96</f>
        <v>0</v>
      </c>
      <c r="J96" s="1">
        <f>VLOOKUP($F96,AF!$B$39:$M$80,J$9)*$E96</f>
        <v>0</v>
      </c>
      <c r="K96" s="1">
        <f t="shared" ref="K96" si="123">E96-SUM(G96:J96)</f>
        <v>0</v>
      </c>
      <c r="L96" s="72">
        <f t="shared" si="112"/>
        <v>0</v>
      </c>
      <c r="N96" s="8">
        <v>206</v>
      </c>
      <c r="O96" s="1">
        <f>VLOOKUP($N96,AF!$B$39:$M$80,O$9)*$G96</f>
        <v>0</v>
      </c>
      <c r="P96" s="1">
        <f>VLOOKUP($N96,AF!$B$39:$M$80,P$9)*$G96</f>
        <v>0</v>
      </c>
      <c r="Q96" s="1">
        <f>VLOOKUP($N96,AF!$B$39:$M$80,Q$9)*$H96</f>
        <v>0</v>
      </c>
      <c r="R96" s="1">
        <f>VLOOKUP($N96,AF!$B$39:$M$80,R$9)*$H96</f>
        <v>0</v>
      </c>
      <c r="S96" s="1">
        <f>VLOOKUP($N96,AF!$B$39:$M$80,S$9)*$I96</f>
        <v>0</v>
      </c>
      <c r="T96" s="1">
        <f>VLOOKUP($N96,AF!$B$39:$M$80,T$9)*$I96</f>
        <v>0</v>
      </c>
      <c r="U96" s="1">
        <f>VLOOKUP($N96,AF!$B$39:$M$80,U$9)*$J96</f>
        <v>0</v>
      </c>
      <c r="V96" s="1">
        <f>VLOOKUP($N96,AF!$B$39:$M$80,V$9)*$J96</f>
        <v>0</v>
      </c>
      <c r="W96" s="1">
        <f t="shared" si="113"/>
        <v>0</v>
      </c>
      <c r="Y96" s="1">
        <f t="shared" si="114"/>
        <v>0</v>
      </c>
      <c r="Z96" s="1">
        <f t="shared" si="115"/>
        <v>0</v>
      </c>
      <c r="AA96" s="1">
        <f t="shared" si="116"/>
        <v>0</v>
      </c>
      <c r="AB96" s="72">
        <f t="shared" si="117"/>
        <v>0</v>
      </c>
      <c r="AD96" s="72">
        <v>300</v>
      </c>
      <c r="AE96" s="1">
        <f>VLOOKUP($AD96,AF!$B$39:$M$80,AE$9)*$O96</f>
        <v>0</v>
      </c>
      <c r="AF96" s="1">
        <f>VLOOKUP($AD96,AF!$B$39:$M$80,AF$9)*$P96</f>
        <v>0</v>
      </c>
      <c r="AG96" s="1">
        <f>VLOOKUP($AD96,AF!$B$39:$M$80,AG$9)*$Q96</f>
        <v>0</v>
      </c>
      <c r="AH96" s="1">
        <f>VLOOKUP($AD96,AF!$B$39:$M$80,AH$9)*$R96</f>
        <v>0</v>
      </c>
      <c r="AI96" s="1">
        <f>VLOOKUP($AD96,AF!$B$39:$M$80,AI$9)*$S96</f>
        <v>0</v>
      </c>
      <c r="AJ96" s="1">
        <f>VLOOKUP($AD96,AF!$B$39:$M$80,AJ$9)*$T96</f>
        <v>0</v>
      </c>
      <c r="AK96" s="1">
        <f>VLOOKUP($AD96,AF!$B$39:$M$80,AK$9)*$U96</f>
        <v>0</v>
      </c>
      <c r="AL96" s="1">
        <f>VLOOKUP($AD96,AF!$B$39:$M$80,AL$9)*$V96</f>
        <v>0</v>
      </c>
      <c r="AM96" s="1">
        <f t="shared" si="118"/>
        <v>0</v>
      </c>
      <c r="AO96" s="1">
        <f t="shared" si="119"/>
        <v>0</v>
      </c>
      <c r="AP96" s="1">
        <f t="shared" si="120"/>
        <v>0</v>
      </c>
      <c r="AQ96" s="1">
        <f t="shared" si="121"/>
        <v>0</v>
      </c>
      <c r="AR96" s="72">
        <f t="shared" si="122"/>
        <v>0</v>
      </c>
    </row>
    <row r="97" spans="1:44" x14ac:dyDescent="0.45">
      <c r="A97" s="118">
        <f t="shared" si="105"/>
        <v>89</v>
      </c>
      <c r="B97" s="79" t="s">
        <v>609</v>
      </c>
      <c r="C97" s="79" t="s">
        <v>610</v>
      </c>
      <c r="D97" s="34"/>
      <c r="E97" s="17">
        <f>SUM(G97:K97)</f>
        <v>0</v>
      </c>
      <c r="F97" s="8">
        <v>100</v>
      </c>
      <c r="G97" s="25">
        <v>0</v>
      </c>
      <c r="H97" s="25">
        <v>0</v>
      </c>
      <c r="I97" s="25">
        <v>0</v>
      </c>
      <c r="J97" s="25">
        <v>0</v>
      </c>
      <c r="K97" s="25">
        <v>0</v>
      </c>
      <c r="L97" s="72">
        <f t="shared" si="112"/>
        <v>0</v>
      </c>
      <c r="N97" s="8">
        <v>202</v>
      </c>
      <c r="O97" s="1">
        <f>VLOOKUP($N97,AF!$B$39:$M$80,O$9)*$G97</f>
        <v>0</v>
      </c>
      <c r="P97" s="1">
        <f>VLOOKUP($N97,AF!$B$39:$M$80,P$9)*$G97</f>
        <v>0</v>
      </c>
      <c r="Q97" s="1">
        <f>VLOOKUP($N97,AF!$B$39:$M$80,Q$9)*$H97</f>
        <v>0</v>
      </c>
      <c r="R97" s="1">
        <f>VLOOKUP($N97,AF!$B$39:$M$80,R$9)*$H97</f>
        <v>0</v>
      </c>
      <c r="S97" s="1">
        <f>VLOOKUP($N97,AF!$B$39:$M$80,S$9)*$I97</f>
        <v>0</v>
      </c>
      <c r="T97" s="1">
        <f>VLOOKUP($N97,AF!$B$39:$M$80,T$9)*$I97</f>
        <v>0</v>
      </c>
      <c r="U97" s="1">
        <f>VLOOKUP($N97,AF!$B$39:$M$80,U$9)*$J97</f>
        <v>0</v>
      </c>
      <c r="V97" s="1">
        <f>VLOOKUP($N97,AF!$B$39:$M$80,V$9)*$J97</f>
        <v>0</v>
      </c>
      <c r="W97" s="1">
        <f t="shared" si="113"/>
        <v>0</v>
      </c>
      <c r="Y97" s="1">
        <f t="shared" si="114"/>
        <v>0</v>
      </c>
      <c r="Z97" s="1">
        <f t="shared" si="115"/>
        <v>0</v>
      </c>
      <c r="AA97" s="1">
        <f t="shared" si="116"/>
        <v>0</v>
      </c>
      <c r="AB97" s="72">
        <f t="shared" si="117"/>
        <v>0</v>
      </c>
      <c r="AD97" s="72">
        <v>300</v>
      </c>
      <c r="AE97" s="1">
        <f>VLOOKUP($AD97,AF!$B$39:$M$80,AE$9)*$O97</f>
        <v>0</v>
      </c>
      <c r="AF97" s="1">
        <f>VLOOKUP($AD97,AF!$B$39:$M$80,AF$9)*$P97</f>
        <v>0</v>
      </c>
      <c r="AG97" s="1">
        <f>VLOOKUP($AD97,AF!$B$39:$M$80,AG$9)*$Q97</f>
        <v>0</v>
      </c>
      <c r="AH97" s="1">
        <f>VLOOKUP($AD97,AF!$B$39:$M$80,AH$9)*$R97</f>
        <v>0</v>
      </c>
      <c r="AI97" s="1">
        <f>VLOOKUP($AD97,AF!$B$39:$M$80,AI$9)*$S97</f>
        <v>0</v>
      </c>
      <c r="AJ97" s="1">
        <f>VLOOKUP($AD97,AF!$B$39:$M$80,AJ$9)*$T97</f>
        <v>0</v>
      </c>
      <c r="AK97" s="1">
        <f>VLOOKUP($AD97,AF!$B$39:$M$80,AK$9)*$U97</f>
        <v>0</v>
      </c>
      <c r="AL97" s="1">
        <f>VLOOKUP($AD97,AF!$B$39:$M$80,AL$9)*$V97</f>
        <v>0</v>
      </c>
      <c r="AM97" s="1">
        <f t="shared" si="118"/>
        <v>0</v>
      </c>
      <c r="AO97" s="1">
        <f t="shared" si="119"/>
        <v>0</v>
      </c>
      <c r="AP97" s="1">
        <f t="shared" si="120"/>
        <v>0</v>
      </c>
      <c r="AQ97" s="1">
        <f t="shared" si="121"/>
        <v>0</v>
      </c>
      <c r="AR97" s="72">
        <f t="shared" si="122"/>
        <v>0</v>
      </c>
    </row>
    <row r="98" spans="1:44" x14ac:dyDescent="0.45">
      <c r="A98" s="118">
        <f t="shared" si="105"/>
        <v>90</v>
      </c>
      <c r="B98" s="79">
        <v>569.1</v>
      </c>
      <c r="C98" s="37" t="s">
        <v>382</v>
      </c>
      <c r="D98" s="34" t="s">
        <v>387</v>
      </c>
      <c r="E98" s="25">
        <v>0</v>
      </c>
      <c r="F98" s="8">
        <v>101</v>
      </c>
      <c r="G98" s="1">
        <f>VLOOKUP($F98,AF!$B$39:$M$80,G$9)*$E98</f>
        <v>0</v>
      </c>
      <c r="H98" s="1">
        <f>VLOOKUP($F98,AF!$B$39:$M$80,H$9)*$E98</f>
        <v>0</v>
      </c>
      <c r="I98" s="1">
        <f>VLOOKUP($F98,AF!$B$39:$M$80,I$9)*$E98</f>
        <v>0</v>
      </c>
      <c r="J98" s="1">
        <f>VLOOKUP($F98,AF!$B$39:$M$80,J$9)*$E98</f>
        <v>0</v>
      </c>
      <c r="K98" s="1">
        <f t="shared" ref="K98" si="124">E98-SUM(G98:J98)</f>
        <v>0</v>
      </c>
      <c r="L98" s="72">
        <f t="shared" si="112"/>
        <v>0</v>
      </c>
      <c r="N98" s="8">
        <v>206</v>
      </c>
      <c r="O98" s="1">
        <f>VLOOKUP($N98,AF!$B$39:$M$80,O$9)*$G98</f>
        <v>0</v>
      </c>
      <c r="P98" s="1">
        <f>VLOOKUP($N98,AF!$B$39:$M$80,P$9)*$G98</f>
        <v>0</v>
      </c>
      <c r="Q98" s="1">
        <f>VLOOKUP($N98,AF!$B$39:$M$80,Q$9)*$H98</f>
        <v>0</v>
      </c>
      <c r="R98" s="1">
        <f>VLOOKUP($N98,AF!$B$39:$M$80,R$9)*$H98</f>
        <v>0</v>
      </c>
      <c r="S98" s="1">
        <f>VLOOKUP($N98,AF!$B$39:$M$80,S$9)*$I98</f>
        <v>0</v>
      </c>
      <c r="T98" s="1">
        <f>VLOOKUP($N98,AF!$B$39:$M$80,T$9)*$I98</f>
        <v>0</v>
      </c>
      <c r="U98" s="1">
        <f>VLOOKUP($N98,AF!$B$39:$M$80,U$9)*$J98</f>
        <v>0</v>
      </c>
      <c r="V98" s="1">
        <f>VLOOKUP($N98,AF!$B$39:$M$80,V$9)*$J98</f>
        <v>0</v>
      </c>
      <c r="W98" s="1">
        <f t="shared" si="113"/>
        <v>0</v>
      </c>
      <c r="Y98" s="1">
        <f t="shared" si="114"/>
        <v>0</v>
      </c>
      <c r="Z98" s="1">
        <f t="shared" si="115"/>
        <v>0</v>
      </c>
      <c r="AA98" s="1">
        <f t="shared" si="116"/>
        <v>0</v>
      </c>
      <c r="AB98" s="72">
        <f t="shared" si="117"/>
        <v>0</v>
      </c>
      <c r="AD98" s="72">
        <v>300</v>
      </c>
      <c r="AE98" s="1">
        <f>VLOOKUP($AD98,AF!$B$39:$M$80,AE$9)*$O98</f>
        <v>0</v>
      </c>
      <c r="AF98" s="1">
        <f>VLOOKUP($AD98,AF!$B$39:$M$80,AF$9)*$P98</f>
        <v>0</v>
      </c>
      <c r="AG98" s="1">
        <f>VLOOKUP($AD98,AF!$B$39:$M$80,AG$9)*$Q98</f>
        <v>0</v>
      </c>
      <c r="AH98" s="1">
        <f>VLOOKUP($AD98,AF!$B$39:$M$80,AH$9)*$R98</f>
        <v>0</v>
      </c>
      <c r="AI98" s="1">
        <f>VLOOKUP($AD98,AF!$B$39:$M$80,AI$9)*$S98</f>
        <v>0</v>
      </c>
      <c r="AJ98" s="1">
        <f>VLOOKUP($AD98,AF!$B$39:$M$80,AJ$9)*$T98</f>
        <v>0</v>
      </c>
      <c r="AK98" s="1">
        <f>VLOOKUP($AD98,AF!$B$39:$M$80,AK$9)*$U98</f>
        <v>0</v>
      </c>
      <c r="AL98" s="1">
        <f>VLOOKUP($AD98,AF!$B$39:$M$80,AL$9)*$V98</f>
        <v>0</v>
      </c>
      <c r="AM98" s="1">
        <f t="shared" si="118"/>
        <v>0</v>
      </c>
      <c r="AO98" s="1">
        <f t="shared" si="119"/>
        <v>0</v>
      </c>
      <c r="AP98" s="1">
        <f t="shared" si="120"/>
        <v>0</v>
      </c>
      <c r="AQ98" s="1">
        <f t="shared" si="121"/>
        <v>0</v>
      </c>
      <c r="AR98" s="72">
        <f t="shared" si="122"/>
        <v>0</v>
      </c>
    </row>
    <row r="99" spans="1:44" x14ac:dyDescent="0.45">
      <c r="A99" s="118">
        <f t="shared" si="105"/>
        <v>91</v>
      </c>
      <c r="B99" s="79" t="s">
        <v>611</v>
      </c>
      <c r="C99" s="79" t="s">
        <v>612</v>
      </c>
      <c r="D99" s="34"/>
      <c r="E99" s="17">
        <f>SUM(G99:K99)</f>
        <v>0</v>
      </c>
      <c r="F99" s="8">
        <v>100</v>
      </c>
      <c r="G99" s="25">
        <v>0</v>
      </c>
      <c r="H99" s="25">
        <v>0</v>
      </c>
      <c r="I99" s="25">
        <v>0</v>
      </c>
      <c r="J99" s="25">
        <v>0</v>
      </c>
      <c r="K99" s="25">
        <v>0</v>
      </c>
      <c r="L99" s="72">
        <f t="shared" si="112"/>
        <v>0</v>
      </c>
      <c r="N99" s="8">
        <v>202</v>
      </c>
      <c r="O99" s="1">
        <f>VLOOKUP($N99,AF!$B$39:$M$80,O$9)*$G99</f>
        <v>0</v>
      </c>
      <c r="P99" s="1">
        <f>VLOOKUP($N99,AF!$B$39:$M$80,P$9)*$G99</f>
        <v>0</v>
      </c>
      <c r="Q99" s="1">
        <f>VLOOKUP($N99,AF!$B$39:$M$80,Q$9)*$H99</f>
        <v>0</v>
      </c>
      <c r="R99" s="1">
        <f>VLOOKUP($N99,AF!$B$39:$M$80,R$9)*$H99</f>
        <v>0</v>
      </c>
      <c r="S99" s="1">
        <f>VLOOKUP($N99,AF!$B$39:$M$80,S$9)*$I99</f>
        <v>0</v>
      </c>
      <c r="T99" s="1">
        <f>VLOOKUP($N99,AF!$B$39:$M$80,T$9)*$I99</f>
        <v>0</v>
      </c>
      <c r="U99" s="1">
        <f>VLOOKUP($N99,AF!$B$39:$M$80,U$9)*$J99</f>
        <v>0</v>
      </c>
      <c r="V99" s="1">
        <f>VLOOKUP($N99,AF!$B$39:$M$80,V$9)*$J99</f>
        <v>0</v>
      </c>
      <c r="W99" s="1">
        <f t="shared" si="113"/>
        <v>0</v>
      </c>
      <c r="Y99" s="1">
        <f t="shared" si="114"/>
        <v>0</v>
      </c>
      <c r="Z99" s="1">
        <f t="shared" si="115"/>
        <v>0</v>
      </c>
      <c r="AA99" s="1">
        <f t="shared" si="116"/>
        <v>0</v>
      </c>
      <c r="AB99" s="72">
        <f t="shared" si="117"/>
        <v>0</v>
      </c>
      <c r="AD99" s="72">
        <v>300</v>
      </c>
      <c r="AE99" s="1">
        <f>VLOOKUP($AD99,AF!$B$39:$M$80,AE$9)*$O99</f>
        <v>0</v>
      </c>
      <c r="AF99" s="1">
        <f>VLOOKUP($AD99,AF!$B$39:$M$80,AF$9)*$P99</f>
        <v>0</v>
      </c>
      <c r="AG99" s="1">
        <f>VLOOKUP($AD99,AF!$B$39:$M$80,AG$9)*$Q99</f>
        <v>0</v>
      </c>
      <c r="AH99" s="1">
        <f>VLOOKUP($AD99,AF!$B$39:$M$80,AH$9)*$R99</f>
        <v>0</v>
      </c>
      <c r="AI99" s="1">
        <f>VLOOKUP($AD99,AF!$B$39:$M$80,AI$9)*$S99</f>
        <v>0</v>
      </c>
      <c r="AJ99" s="1">
        <f>VLOOKUP($AD99,AF!$B$39:$M$80,AJ$9)*$T99</f>
        <v>0</v>
      </c>
      <c r="AK99" s="1">
        <f>VLOOKUP($AD99,AF!$B$39:$M$80,AK$9)*$U99</f>
        <v>0</v>
      </c>
      <c r="AL99" s="1">
        <f>VLOOKUP($AD99,AF!$B$39:$M$80,AL$9)*$V99</f>
        <v>0</v>
      </c>
      <c r="AM99" s="1">
        <f t="shared" si="118"/>
        <v>0</v>
      </c>
      <c r="AO99" s="1">
        <f t="shared" si="119"/>
        <v>0</v>
      </c>
      <c r="AP99" s="1">
        <f t="shared" si="120"/>
        <v>0</v>
      </c>
      <c r="AQ99" s="1">
        <f t="shared" si="121"/>
        <v>0</v>
      </c>
      <c r="AR99" s="72">
        <f t="shared" si="122"/>
        <v>0</v>
      </c>
    </row>
    <row r="100" spans="1:44" x14ac:dyDescent="0.45">
      <c r="A100" s="118">
        <f t="shared" si="105"/>
        <v>92</v>
      </c>
      <c r="B100" s="79">
        <v>569.20000000000005</v>
      </c>
      <c r="C100" s="37" t="s">
        <v>383</v>
      </c>
      <c r="D100" s="34" t="s">
        <v>388</v>
      </c>
      <c r="E100" s="25">
        <v>0</v>
      </c>
      <c r="F100" s="8">
        <v>101</v>
      </c>
      <c r="G100" s="1">
        <f>VLOOKUP($F100,AF!$B$39:$M$80,G$9)*$E100</f>
        <v>0</v>
      </c>
      <c r="H100" s="1">
        <f>VLOOKUP($F100,AF!$B$39:$M$80,H$9)*$E100</f>
        <v>0</v>
      </c>
      <c r="I100" s="1">
        <f>VLOOKUP($F100,AF!$B$39:$M$80,I$9)*$E100</f>
        <v>0</v>
      </c>
      <c r="J100" s="1">
        <f>VLOOKUP($F100,AF!$B$39:$M$80,J$9)*$E100</f>
        <v>0</v>
      </c>
      <c r="K100" s="1">
        <f t="shared" ref="K100" si="125">E100-SUM(G100:J100)</f>
        <v>0</v>
      </c>
      <c r="L100" s="72">
        <f t="shared" si="112"/>
        <v>0</v>
      </c>
      <c r="N100" s="8">
        <v>206</v>
      </c>
      <c r="O100" s="1">
        <f>VLOOKUP($N100,AF!$B$39:$M$80,O$9)*$G100</f>
        <v>0</v>
      </c>
      <c r="P100" s="1">
        <f>VLOOKUP($N100,AF!$B$39:$M$80,P$9)*$G100</f>
        <v>0</v>
      </c>
      <c r="Q100" s="1">
        <f>VLOOKUP($N100,AF!$B$39:$M$80,Q$9)*$H100</f>
        <v>0</v>
      </c>
      <c r="R100" s="1">
        <f>VLOOKUP($N100,AF!$B$39:$M$80,R$9)*$H100</f>
        <v>0</v>
      </c>
      <c r="S100" s="1">
        <f>VLOOKUP($N100,AF!$B$39:$M$80,S$9)*$I100</f>
        <v>0</v>
      </c>
      <c r="T100" s="1">
        <f>VLOOKUP($N100,AF!$B$39:$M$80,T$9)*$I100</f>
        <v>0</v>
      </c>
      <c r="U100" s="1">
        <f>VLOOKUP($N100,AF!$B$39:$M$80,U$9)*$J100</f>
        <v>0</v>
      </c>
      <c r="V100" s="1">
        <f>VLOOKUP($N100,AF!$B$39:$M$80,V$9)*$J100</f>
        <v>0</v>
      </c>
      <c r="W100" s="1">
        <f t="shared" si="113"/>
        <v>0</v>
      </c>
      <c r="Y100" s="1">
        <f t="shared" si="114"/>
        <v>0</v>
      </c>
      <c r="Z100" s="1">
        <f t="shared" si="115"/>
        <v>0</v>
      </c>
      <c r="AA100" s="1">
        <f t="shared" si="116"/>
        <v>0</v>
      </c>
      <c r="AB100" s="72">
        <f t="shared" si="117"/>
        <v>0</v>
      </c>
      <c r="AD100" s="72">
        <v>300</v>
      </c>
      <c r="AE100" s="1">
        <f>VLOOKUP($AD100,AF!$B$39:$M$80,AE$9)*$O100</f>
        <v>0</v>
      </c>
      <c r="AF100" s="1">
        <f>VLOOKUP($AD100,AF!$B$39:$M$80,AF$9)*$P100</f>
        <v>0</v>
      </c>
      <c r="AG100" s="1">
        <f>VLOOKUP($AD100,AF!$B$39:$M$80,AG$9)*$Q100</f>
        <v>0</v>
      </c>
      <c r="AH100" s="1">
        <f>VLOOKUP($AD100,AF!$B$39:$M$80,AH$9)*$R100</f>
        <v>0</v>
      </c>
      <c r="AI100" s="1">
        <f>VLOOKUP($AD100,AF!$B$39:$M$80,AI$9)*$S100</f>
        <v>0</v>
      </c>
      <c r="AJ100" s="1">
        <f>VLOOKUP($AD100,AF!$B$39:$M$80,AJ$9)*$T100</f>
        <v>0</v>
      </c>
      <c r="AK100" s="1">
        <f>VLOOKUP($AD100,AF!$B$39:$M$80,AK$9)*$U100</f>
        <v>0</v>
      </c>
      <c r="AL100" s="1">
        <f>VLOOKUP($AD100,AF!$B$39:$M$80,AL$9)*$V100</f>
        <v>0</v>
      </c>
      <c r="AM100" s="1">
        <f t="shared" si="118"/>
        <v>0</v>
      </c>
      <c r="AO100" s="1">
        <f t="shared" si="119"/>
        <v>0</v>
      </c>
      <c r="AP100" s="1">
        <f t="shared" si="120"/>
        <v>0</v>
      </c>
      <c r="AQ100" s="1">
        <f t="shared" si="121"/>
        <v>0</v>
      </c>
      <c r="AR100" s="72">
        <f t="shared" si="122"/>
        <v>0</v>
      </c>
    </row>
    <row r="101" spans="1:44" x14ac:dyDescent="0.45">
      <c r="A101" s="118">
        <f t="shared" si="105"/>
        <v>93</v>
      </c>
      <c r="B101" s="79" t="s">
        <v>613</v>
      </c>
      <c r="C101" s="79" t="s">
        <v>614</v>
      </c>
      <c r="D101" s="34"/>
      <c r="E101" s="17">
        <f>SUM(G101:K101)</f>
        <v>0</v>
      </c>
      <c r="F101" s="8">
        <v>100</v>
      </c>
      <c r="G101" s="25">
        <v>0</v>
      </c>
      <c r="H101" s="25">
        <v>0</v>
      </c>
      <c r="I101" s="25">
        <v>0</v>
      </c>
      <c r="J101" s="25">
        <v>0</v>
      </c>
      <c r="K101" s="25">
        <v>0</v>
      </c>
      <c r="L101" s="72">
        <f t="shared" si="112"/>
        <v>0</v>
      </c>
      <c r="N101" s="8">
        <v>202</v>
      </c>
      <c r="O101" s="1">
        <f>VLOOKUP($N101,AF!$B$39:$M$80,O$9)*$G101</f>
        <v>0</v>
      </c>
      <c r="P101" s="1">
        <f>VLOOKUP($N101,AF!$B$39:$M$80,P$9)*$G101</f>
        <v>0</v>
      </c>
      <c r="Q101" s="1">
        <f>VLOOKUP($N101,AF!$B$39:$M$80,Q$9)*$H101</f>
        <v>0</v>
      </c>
      <c r="R101" s="1">
        <f>VLOOKUP($N101,AF!$B$39:$M$80,R$9)*$H101</f>
        <v>0</v>
      </c>
      <c r="S101" s="1">
        <f>VLOOKUP($N101,AF!$B$39:$M$80,S$9)*$I101</f>
        <v>0</v>
      </c>
      <c r="T101" s="1">
        <f>VLOOKUP($N101,AF!$B$39:$M$80,T$9)*$I101</f>
        <v>0</v>
      </c>
      <c r="U101" s="1">
        <f>VLOOKUP($N101,AF!$B$39:$M$80,U$9)*$J101</f>
        <v>0</v>
      </c>
      <c r="V101" s="1">
        <f>VLOOKUP($N101,AF!$B$39:$M$80,V$9)*$J101</f>
        <v>0</v>
      </c>
      <c r="W101" s="1">
        <f t="shared" si="113"/>
        <v>0</v>
      </c>
      <c r="Y101" s="1">
        <f t="shared" si="114"/>
        <v>0</v>
      </c>
      <c r="Z101" s="1">
        <f t="shared" si="115"/>
        <v>0</v>
      </c>
      <c r="AA101" s="1">
        <f t="shared" si="116"/>
        <v>0</v>
      </c>
      <c r="AB101" s="72">
        <f t="shared" si="117"/>
        <v>0</v>
      </c>
      <c r="AD101" s="72">
        <v>300</v>
      </c>
      <c r="AE101" s="1">
        <f>VLOOKUP($AD101,AF!$B$39:$M$80,AE$9)*$O101</f>
        <v>0</v>
      </c>
      <c r="AF101" s="1">
        <f>VLOOKUP($AD101,AF!$B$39:$M$80,AF$9)*$P101</f>
        <v>0</v>
      </c>
      <c r="AG101" s="1">
        <f>VLOOKUP($AD101,AF!$B$39:$M$80,AG$9)*$Q101</f>
        <v>0</v>
      </c>
      <c r="AH101" s="1">
        <f>VLOOKUP($AD101,AF!$B$39:$M$80,AH$9)*$R101</f>
        <v>0</v>
      </c>
      <c r="AI101" s="1">
        <f>VLOOKUP($AD101,AF!$B$39:$M$80,AI$9)*$S101</f>
        <v>0</v>
      </c>
      <c r="AJ101" s="1">
        <f>VLOOKUP($AD101,AF!$B$39:$M$80,AJ$9)*$T101</f>
        <v>0</v>
      </c>
      <c r="AK101" s="1">
        <f>VLOOKUP($AD101,AF!$B$39:$M$80,AK$9)*$U101</f>
        <v>0</v>
      </c>
      <c r="AL101" s="1">
        <f>VLOOKUP($AD101,AF!$B$39:$M$80,AL$9)*$V101</f>
        <v>0</v>
      </c>
      <c r="AM101" s="1">
        <f t="shared" si="118"/>
        <v>0</v>
      </c>
      <c r="AO101" s="1">
        <f t="shared" si="119"/>
        <v>0</v>
      </c>
      <c r="AP101" s="1">
        <f t="shared" si="120"/>
        <v>0</v>
      </c>
      <c r="AQ101" s="1">
        <f t="shared" si="121"/>
        <v>0</v>
      </c>
      <c r="AR101" s="72">
        <f t="shared" si="122"/>
        <v>0</v>
      </c>
    </row>
    <row r="102" spans="1:44" x14ac:dyDescent="0.45">
      <c r="A102" s="118">
        <f t="shared" si="105"/>
        <v>94</v>
      </c>
      <c r="B102" s="79">
        <v>569.29999999999995</v>
      </c>
      <c r="C102" s="37" t="s">
        <v>384</v>
      </c>
      <c r="D102" s="34" t="s">
        <v>389</v>
      </c>
      <c r="E102" s="25">
        <v>0</v>
      </c>
      <c r="F102" s="8">
        <v>101</v>
      </c>
      <c r="G102" s="1">
        <f>VLOOKUP($F102,AF!$B$39:$M$80,G$9)*$E102</f>
        <v>0</v>
      </c>
      <c r="H102" s="1">
        <f>VLOOKUP($F102,AF!$B$39:$M$80,H$9)*$E102</f>
        <v>0</v>
      </c>
      <c r="I102" s="1">
        <f>VLOOKUP($F102,AF!$B$39:$M$80,I$9)*$E102</f>
        <v>0</v>
      </c>
      <c r="J102" s="1">
        <f>VLOOKUP($F102,AF!$B$39:$M$80,J$9)*$E102</f>
        <v>0</v>
      </c>
      <c r="K102" s="1">
        <f t="shared" ref="K102" si="126">E102-SUM(G102:J102)</f>
        <v>0</v>
      </c>
      <c r="L102" s="72">
        <f t="shared" si="112"/>
        <v>0</v>
      </c>
      <c r="N102" s="8">
        <v>206</v>
      </c>
      <c r="O102" s="1">
        <f>VLOOKUP($N102,AF!$B$39:$M$80,O$9)*$G102</f>
        <v>0</v>
      </c>
      <c r="P102" s="1">
        <f>VLOOKUP($N102,AF!$B$39:$M$80,P$9)*$G102</f>
        <v>0</v>
      </c>
      <c r="Q102" s="1">
        <f>VLOOKUP($N102,AF!$B$39:$M$80,Q$9)*$H102</f>
        <v>0</v>
      </c>
      <c r="R102" s="1">
        <f>VLOOKUP($N102,AF!$B$39:$M$80,R$9)*$H102</f>
        <v>0</v>
      </c>
      <c r="S102" s="1">
        <f>VLOOKUP($N102,AF!$B$39:$M$80,S$9)*$I102</f>
        <v>0</v>
      </c>
      <c r="T102" s="1">
        <f>VLOOKUP($N102,AF!$B$39:$M$80,T$9)*$I102</f>
        <v>0</v>
      </c>
      <c r="U102" s="1">
        <f>VLOOKUP($N102,AF!$B$39:$M$80,U$9)*$J102</f>
        <v>0</v>
      </c>
      <c r="V102" s="1">
        <f>VLOOKUP($N102,AF!$B$39:$M$80,V$9)*$J102</f>
        <v>0</v>
      </c>
      <c r="W102" s="1">
        <f t="shared" si="113"/>
        <v>0</v>
      </c>
      <c r="Y102" s="1">
        <f t="shared" si="114"/>
        <v>0</v>
      </c>
      <c r="Z102" s="1">
        <f t="shared" si="115"/>
        <v>0</v>
      </c>
      <c r="AA102" s="1">
        <f t="shared" si="116"/>
        <v>0</v>
      </c>
      <c r="AB102" s="72">
        <f t="shared" si="117"/>
        <v>0</v>
      </c>
      <c r="AD102" s="72">
        <v>300</v>
      </c>
      <c r="AE102" s="1">
        <f>VLOOKUP($AD102,AF!$B$39:$M$80,AE$9)*$O102</f>
        <v>0</v>
      </c>
      <c r="AF102" s="1">
        <f>VLOOKUP($AD102,AF!$B$39:$M$80,AF$9)*$P102</f>
        <v>0</v>
      </c>
      <c r="AG102" s="1">
        <f>VLOOKUP($AD102,AF!$B$39:$M$80,AG$9)*$Q102</f>
        <v>0</v>
      </c>
      <c r="AH102" s="1">
        <f>VLOOKUP($AD102,AF!$B$39:$M$80,AH$9)*$R102</f>
        <v>0</v>
      </c>
      <c r="AI102" s="1">
        <f>VLOOKUP($AD102,AF!$B$39:$M$80,AI$9)*$S102</f>
        <v>0</v>
      </c>
      <c r="AJ102" s="1">
        <f>VLOOKUP($AD102,AF!$B$39:$M$80,AJ$9)*$T102</f>
        <v>0</v>
      </c>
      <c r="AK102" s="1">
        <f>VLOOKUP($AD102,AF!$B$39:$M$80,AK$9)*$U102</f>
        <v>0</v>
      </c>
      <c r="AL102" s="1">
        <f>VLOOKUP($AD102,AF!$B$39:$M$80,AL$9)*$V102</f>
        <v>0</v>
      </c>
      <c r="AM102" s="1">
        <f t="shared" si="118"/>
        <v>0</v>
      </c>
      <c r="AO102" s="1">
        <f t="shared" si="119"/>
        <v>0</v>
      </c>
      <c r="AP102" s="1">
        <f t="shared" si="120"/>
        <v>0</v>
      </c>
      <c r="AQ102" s="1">
        <f t="shared" si="121"/>
        <v>0</v>
      </c>
      <c r="AR102" s="72">
        <f t="shared" si="122"/>
        <v>0</v>
      </c>
    </row>
    <row r="103" spans="1:44" x14ac:dyDescent="0.45">
      <c r="A103" s="118">
        <f t="shared" si="105"/>
        <v>95</v>
      </c>
      <c r="B103" s="79" t="s">
        <v>615</v>
      </c>
      <c r="C103" s="79" t="s">
        <v>616</v>
      </c>
      <c r="D103" s="34"/>
      <c r="E103" s="17">
        <f>SUM(G103:K103)</f>
        <v>0</v>
      </c>
      <c r="F103" s="8">
        <v>100</v>
      </c>
      <c r="G103" s="25">
        <v>0</v>
      </c>
      <c r="H103" s="25">
        <v>0</v>
      </c>
      <c r="I103" s="25">
        <v>0</v>
      </c>
      <c r="J103" s="25">
        <v>0</v>
      </c>
      <c r="K103" s="25">
        <v>0</v>
      </c>
      <c r="L103" s="72">
        <f t="shared" si="112"/>
        <v>0</v>
      </c>
      <c r="N103" s="8">
        <v>202</v>
      </c>
      <c r="O103" s="1">
        <f>VLOOKUP($N103,AF!$B$39:$M$80,O$9)*$G103</f>
        <v>0</v>
      </c>
      <c r="P103" s="1">
        <f>VLOOKUP($N103,AF!$B$39:$M$80,P$9)*$G103</f>
        <v>0</v>
      </c>
      <c r="Q103" s="1">
        <f>VLOOKUP($N103,AF!$B$39:$M$80,Q$9)*$H103</f>
        <v>0</v>
      </c>
      <c r="R103" s="1">
        <f>VLOOKUP($N103,AF!$B$39:$M$80,R$9)*$H103</f>
        <v>0</v>
      </c>
      <c r="S103" s="1">
        <f>VLOOKUP($N103,AF!$B$39:$M$80,S$9)*$I103</f>
        <v>0</v>
      </c>
      <c r="T103" s="1">
        <f>VLOOKUP($N103,AF!$B$39:$M$80,T$9)*$I103</f>
        <v>0</v>
      </c>
      <c r="U103" s="1">
        <f>VLOOKUP($N103,AF!$B$39:$M$80,U$9)*$J103</f>
        <v>0</v>
      </c>
      <c r="V103" s="1">
        <f>VLOOKUP($N103,AF!$B$39:$M$80,V$9)*$J103</f>
        <v>0</v>
      </c>
      <c r="W103" s="1">
        <f t="shared" si="113"/>
        <v>0</v>
      </c>
      <c r="Y103" s="1">
        <f t="shared" si="114"/>
        <v>0</v>
      </c>
      <c r="Z103" s="1">
        <f t="shared" si="115"/>
        <v>0</v>
      </c>
      <c r="AA103" s="1">
        <f t="shared" si="116"/>
        <v>0</v>
      </c>
      <c r="AB103" s="72">
        <f t="shared" si="117"/>
        <v>0</v>
      </c>
      <c r="AD103" s="72">
        <v>300</v>
      </c>
      <c r="AE103" s="1">
        <f>VLOOKUP($AD103,AF!$B$39:$M$80,AE$9)*$O103</f>
        <v>0</v>
      </c>
      <c r="AF103" s="1">
        <f>VLOOKUP($AD103,AF!$B$39:$M$80,AF$9)*$P103</f>
        <v>0</v>
      </c>
      <c r="AG103" s="1">
        <f>VLOOKUP($AD103,AF!$B$39:$M$80,AG$9)*$Q103</f>
        <v>0</v>
      </c>
      <c r="AH103" s="1">
        <f>VLOOKUP($AD103,AF!$B$39:$M$80,AH$9)*$R103</f>
        <v>0</v>
      </c>
      <c r="AI103" s="1">
        <f>VLOOKUP($AD103,AF!$B$39:$M$80,AI$9)*$S103</f>
        <v>0</v>
      </c>
      <c r="AJ103" s="1">
        <f>VLOOKUP($AD103,AF!$B$39:$M$80,AJ$9)*$T103</f>
        <v>0</v>
      </c>
      <c r="AK103" s="1">
        <f>VLOOKUP($AD103,AF!$B$39:$M$80,AK$9)*$U103</f>
        <v>0</v>
      </c>
      <c r="AL103" s="1">
        <f>VLOOKUP($AD103,AF!$B$39:$M$80,AL$9)*$V103</f>
        <v>0</v>
      </c>
      <c r="AM103" s="1">
        <f t="shared" si="118"/>
        <v>0</v>
      </c>
      <c r="AO103" s="1">
        <f t="shared" si="119"/>
        <v>0</v>
      </c>
      <c r="AP103" s="1">
        <f t="shared" si="120"/>
        <v>0</v>
      </c>
      <c r="AQ103" s="1">
        <f t="shared" si="121"/>
        <v>0</v>
      </c>
      <c r="AR103" s="72">
        <f t="shared" si="122"/>
        <v>0</v>
      </c>
    </row>
    <row r="104" spans="1:44" x14ac:dyDescent="0.45">
      <c r="A104" s="118">
        <f t="shared" si="105"/>
        <v>96</v>
      </c>
      <c r="B104" s="79">
        <v>569.4</v>
      </c>
      <c r="C104" s="37" t="s">
        <v>385</v>
      </c>
      <c r="D104" s="34" t="s">
        <v>390</v>
      </c>
      <c r="E104" s="25">
        <v>0</v>
      </c>
      <c r="F104" s="8">
        <v>101</v>
      </c>
      <c r="G104" s="1">
        <f>VLOOKUP($F104,AF!$B$39:$M$80,G$9)*$E104</f>
        <v>0</v>
      </c>
      <c r="H104" s="1">
        <f>VLOOKUP($F104,AF!$B$39:$M$80,H$9)*$E104</f>
        <v>0</v>
      </c>
      <c r="I104" s="1">
        <f>VLOOKUP($F104,AF!$B$39:$M$80,I$9)*$E104</f>
        <v>0</v>
      </c>
      <c r="J104" s="1">
        <f>VLOOKUP($F104,AF!$B$39:$M$80,J$9)*$E104</f>
        <v>0</v>
      </c>
      <c r="K104" s="1">
        <f t="shared" ref="K104" si="127">E104-SUM(G104:J104)</f>
        <v>0</v>
      </c>
      <c r="L104" s="72">
        <f t="shared" si="112"/>
        <v>0</v>
      </c>
      <c r="N104" s="8">
        <v>206</v>
      </c>
      <c r="O104" s="1">
        <f>VLOOKUP($N104,AF!$B$39:$M$80,O$9)*$G104</f>
        <v>0</v>
      </c>
      <c r="P104" s="1">
        <f>VLOOKUP($N104,AF!$B$39:$M$80,P$9)*$G104</f>
        <v>0</v>
      </c>
      <c r="Q104" s="1">
        <f>VLOOKUP($N104,AF!$B$39:$M$80,Q$9)*$H104</f>
        <v>0</v>
      </c>
      <c r="R104" s="1">
        <f>VLOOKUP($N104,AF!$B$39:$M$80,R$9)*$H104</f>
        <v>0</v>
      </c>
      <c r="S104" s="1">
        <f>VLOOKUP($N104,AF!$B$39:$M$80,S$9)*$I104</f>
        <v>0</v>
      </c>
      <c r="T104" s="1">
        <f>VLOOKUP($N104,AF!$B$39:$M$80,T$9)*$I104</f>
        <v>0</v>
      </c>
      <c r="U104" s="1">
        <f>VLOOKUP($N104,AF!$B$39:$M$80,U$9)*$J104</f>
        <v>0</v>
      </c>
      <c r="V104" s="1">
        <f>VLOOKUP($N104,AF!$B$39:$M$80,V$9)*$J104</f>
        <v>0</v>
      </c>
      <c r="W104" s="1">
        <f t="shared" si="113"/>
        <v>0</v>
      </c>
      <c r="Y104" s="1">
        <f t="shared" si="114"/>
        <v>0</v>
      </c>
      <c r="Z104" s="1">
        <f t="shared" si="115"/>
        <v>0</v>
      </c>
      <c r="AA104" s="1">
        <f t="shared" si="116"/>
        <v>0</v>
      </c>
      <c r="AB104" s="72">
        <f t="shared" si="117"/>
        <v>0</v>
      </c>
      <c r="AD104" s="72">
        <v>300</v>
      </c>
      <c r="AE104" s="1">
        <f>VLOOKUP($AD104,AF!$B$39:$M$80,AE$9)*$O104</f>
        <v>0</v>
      </c>
      <c r="AF104" s="1">
        <f>VLOOKUP($AD104,AF!$B$39:$M$80,AF$9)*$P104</f>
        <v>0</v>
      </c>
      <c r="AG104" s="1">
        <f>VLOOKUP($AD104,AF!$B$39:$M$80,AG$9)*$Q104</f>
        <v>0</v>
      </c>
      <c r="AH104" s="1">
        <f>VLOOKUP($AD104,AF!$B$39:$M$80,AH$9)*$R104</f>
        <v>0</v>
      </c>
      <c r="AI104" s="1">
        <f>VLOOKUP($AD104,AF!$B$39:$M$80,AI$9)*$S104</f>
        <v>0</v>
      </c>
      <c r="AJ104" s="1">
        <f>VLOOKUP($AD104,AF!$B$39:$M$80,AJ$9)*$T104</f>
        <v>0</v>
      </c>
      <c r="AK104" s="1">
        <f>VLOOKUP($AD104,AF!$B$39:$M$80,AK$9)*$U104</f>
        <v>0</v>
      </c>
      <c r="AL104" s="1">
        <f>VLOOKUP($AD104,AF!$B$39:$M$80,AL$9)*$V104</f>
        <v>0</v>
      </c>
      <c r="AM104" s="1">
        <f t="shared" si="118"/>
        <v>0</v>
      </c>
      <c r="AO104" s="1">
        <f t="shared" si="119"/>
        <v>0</v>
      </c>
      <c r="AP104" s="1">
        <f t="shared" si="120"/>
        <v>0</v>
      </c>
      <c r="AQ104" s="1">
        <f t="shared" si="121"/>
        <v>0</v>
      </c>
      <c r="AR104" s="72">
        <f t="shared" si="122"/>
        <v>0</v>
      </c>
    </row>
    <row r="105" spans="1:44" x14ac:dyDescent="0.45">
      <c r="A105" s="118">
        <f t="shared" si="105"/>
        <v>97</v>
      </c>
      <c r="B105" s="79" t="s">
        <v>617</v>
      </c>
      <c r="C105" s="79" t="s">
        <v>618</v>
      </c>
      <c r="D105" s="34"/>
      <c r="E105" s="17">
        <f>SUM(G105:K105)</f>
        <v>0</v>
      </c>
      <c r="F105" s="8">
        <v>100</v>
      </c>
      <c r="G105" s="25">
        <v>0</v>
      </c>
      <c r="H105" s="25">
        <v>0</v>
      </c>
      <c r="I105" s="25">
        <v>0</v>
      </c>
      <c r="J105" s="25">
        <v>0</v>
      </c>
      <c r="K105" s="25">
        <v>0</v>
      </c>
      <c r="L105" s="72">
        <f t="shared" si="112"/>
        <v>0</v>
      </c>
      <c r="N105" s="8">
        <v>202</v>
      </c>
      <c r="O105" s="1">
        <f>VLOOKUP($N105,AF!$B$39:$M$80,O$9)*$G105</f>
        <v>0</v>
      </c>
      <c r="P105" s="1">
        <f>VLOOKUP($N105,AF!$B$39:$M$80,P$9)*$G105</f>
        <v>0</v>
      </c>
      <c r="Q105" s="1">
        <f>VLOOKUP($N105,AF!$B$39:$M$80,Q$9)*$H105</f>
        <v>0</v>
      </c>
      <c r="R105" s="1">
        <f>VLOOKUP($N105,AF!$B$39:$M$80,R$9)*$H105</f>
        <v>0</v>
      </c>
      <c r="S105" s="1">
        <f>VLOOKUP($N105,AF!$B$39:$M$80,S$9)*$I105</f>
        <v>0</v>
      </c>
      <c r="T105" s="1">
        <f>VLOOKUP($N105,AF!$B$39:$M$80,T$9)*$I105</f>
        <v>0</v>
      </c>
      <c r="U105" s="1">
        <f>VLOOKUP($N105,AF!$B$39:$M$80,U$9)*$J105</f>
        <v>0</v>
      </c>
      <c r="V105" s="1">
        <f>VLOOKUP($N105,AF!$B$39:$M$80,V$9)*$J105</f>
        <v>0</v>
      </c>
      <c r="W105" s="1">
        <f t="shared" si="113"/>
        <v>0</v>
      </c>
      <c r="Y105" s="1">
        <f t="shared" si="114"/>
        <v>0</v>
      </c>
      <c r="Z105" s="1">
        <f t="shared" si="115"/>
        <v>0</v>
      </c>
      <c r="AA105" s="1">
        <f t="shared" si="116"/>
        <v>0</v>
      </c>
      <c r="AB105" s="72">
        <f t="shared" si="117"/>
        <v>0</v>
      </c>
      <c r="AD105" s="72">
        <v>300</v>
      </c>
      <c r="AE105" s="1">
        <f>VLOOKUP($AD105,AF!$B$39:$M$80,AE$9)*$O105</f>
        <v>0</v>
      </c>
      <c r="AF105" s="1">
        <f>VLOOKUP($AD105,AF!$B$39:$M$80,AF$9)*$P105</f>
        <v>0</v>
      </c>
      <c r="AG105" s="1">
        <f>VLOOKUP($AD105,AF!$B$39:$M$80,AG$9)*$Q105</f>
        <v>0</v>
      </c>
      <c r="AH105" s="1">
        <f>VLOOKUP($AD105,AF!$B$39:$M$80,AH$9)*$R105</f>
        <v>0</v>
      </c>
      <c r="AI105" s="1">
        <f>VLOOKUP($AD105,AF!$B$39:$M$80,AI$9)*$S105</f>
        <v>0</v>
      </c>
      <c r="AJ105" s="1">
        <f>VLOOKUP($AD105,AF!$B$39:$M$80,AJ$9)*$T105</f>
        <v>0</v>
      </c>
      <c r="AK105" s="1">
        <f>VLOOKUP($AD105,AF!$B$39:$M$80,AK$9)*$U105</f>
        <v>0</v>
      </c>
      <c r="AL105" s="1">
        <f>VLOOKUP($AD105,AF!$B$39:$M$80,AL$9)*$V105</f>
        <v>0</v>
      </c>
      <c r="AM105" s="1">
        <f t="shared" si="118"/>
        <v>0</v>
      </c>
      <c r="AO105" s="1">
        <f t="shared" si="119"/>
        <v>0</v>
      </c>
      <c r="AP105" s="1">
        <f t="shared" si="120"/>
        <v>0</v>
      </c>
      <c r="AQ105" s="1">
        <f t="shared" si="121"/>
        <v>0</v>
      </c>
      <c r="AR105" s="72">
        <f t="shared" si="122"/>
        <v>0</v>
      </c>
    </row>
    <row r="106" spans="1:44" x14ac:dyDescent="0.45">
      <c r="A106" s="118">
        <f t="shared" si="105"/>
        <v>98</v>
      </c>
      <c r="B106" s="57">
        <v>570</v>
      </c>
      <c r="C106" s="34" t="s">
        <v>237</v>
      </c>
      <c r="D106" s="34" t="s">
        <v>73</v>
      </c>
      <c r="E106" s="25">
        <f>204793-E107</f>
        <v>0.39999999999417923</v>
      </c>
      <c r="F106" s="8">
        <v>101</v>
      </c>
      <c r="G106" s="1">
        <f>VLOOKUP($F106,AF!$B$39:$M$80,G$9)*$E106</f>
        <v>0</v>
      </c>
      <c r="H106" s="1">
        <f>VLOOKUP($F106,AF!$B$39:$M$80,H$9)*$E106</f>
        <v>0</v>
      </c>
      <c r="I106" s="1">
        <f>VLOOKUP($F106,AF!$B$39:$M$80,I$9)*$E106</f>
        <v>0</v>
      </c>
      <c r="J106" s="1">
        <f>VLOOKUP($F106,AF!$B$39:$M$80,J$9)*$E106</f>
        <v>0</v>
      </c>
      <c r="K106" s="1">
        <f t="shared" ref="K106" si="128">E106-SUM(G106:J106)</f>
        <v>0.39999999999417923</v>
      </c>
      <c r="L106" s="72">
        <f t="shared" si="112"/>
        <v>0</v>
      </c>
      <c r="N106" s="8">
        <v>206</v>
      </c>
      <c r="O106" s="1">
        <f>VLOOKUP($N106,AF!$B$39:$M$80,O$9)*$G106</f>
        <v>0</v>
      </c>
      <c r="P106" s="1">
        <f>VLOOKUP($N106,AF!$B$39:$M$80,P$9)*$G106</f>
        <v>0</v>
      </c>
      <c r="Q106" s="1">
        <f>VLOOKUP($N106,AF!$B$39:$M$80,Q$9)*$H106</f>
        <v>0</v>
      </c>
      <c r="R106" s="1">
        <f>VLOOKUP($N106,AF!$B$39:$M$80,R$9)*$H106</f>
        <v>0</v>
      </c>
      <c r="S106" s="1">
        <f>VLOOKUP($N106,AF!$B$39:$M$80,S$9)*$I106</f>
        <v>0</v>
      </c>
      <c r="T106" s="1">
        <f>VLOOKUP($N106,AF!$B$39:$M$80,T$9)*$I106</f>
        <v>0</v>
      </c>
      <c r="U106" s="1">
        <f>VLOOKUP($N106,AF!$B$39:$M$80,U$9)*$J106</f>
        <v>0</v>
      </c>
      <c r="V106" s="1">
        <f>VLOOKUP($N106,AF!$B$39:$M$80,V$9)*$J106</f>
        <v>0</v>
      </c>
      <c r="W106" s="1">
        <f t="shared" si="113"/>
        <v>0.39999999999417923</v>
      </c>
      <c r="Y106" s="1">
        <f t="shared" si="114"/>
        <v>0</v>
      </c>
      <c r="Z106" s="1">
        <f t="shared" si="115"/>
        <v>0</v>
      </c>
      <c r="AA106" s="1">
        <f t="shared" si="116"/>
        <v>0.39999999999417923</v>
      </c>
      <c r="AB106" s="72">
        <f t="shared" si="117"/>
        <v>0</v>
      </c>
      <c r="AD106" s="72">
        <v>300</v>
      </c>
      <c r="AE106" s="1">
        <f>VLOOKUP($AD106,AF!$B$39:$M$80,AE$9)*$O106</f>
        <v>0</v>
      </c>
      <c r="AF106" s="1">
        <f>VLOOKUP($AD106,AF!$B$39:$M$80,AF$9)*$P106</f>
        <v>0</v>
      </c>
      <c r="AG106" s="1">
        <f>VLOOKUP($AD106,AF!$B$39:$M$80,AG$9)*$Q106</f>
        <v>0</v>
      </c>
      <c r="AH106" s="1">
        <f>VLOOKUP($AD106,AF!$B$39:$M$80,AH$9)*$R106</f>
        <v>0</v>
      </c>
      <c r="AI106" s="1">
        <f>VLOOKUP($AD106,AF!$B$39:$M$80,AI$9)*$S106</f>
        <v>0</v>
      </c>
      <c r="AJ106" s="1">
        <f>VLOOKUP($AD106,AF!$B$39:$M$80,AJ$9)*$T106</f>
        <v>0</v>
      </c>
      <c r="AK106" s="1">
        <f>VLOOKUP($AD106,AF!$B$39:$M$80,AK$9)*$U106</f>
        <v>0</v>
      </c>
      <c r="AL106" s="1">
        <f>VLOOKUP($AD106,AF!$B$39:$M$80,AL$9)*$V106</f>
        <v>0</v>
      </c>
      <c r="AM106" s="1">
        <f t="shared" si="118"/>
        <v>0.39999999999417923</v>
      </c>
      <c r="AO106" s="1">
        <f t="shared" si="119"/>
        <v>0</v>
      </c>
      <c r="AP106" s="1">
        <f t="shared" si="120"/>
        <v>0</v>
      </c>
      <c r="AQ106" s="1">
        <f t="shared" si="121"/>
        <v>0.39999999999417923</v>
      </c>
      <c r="AR106" s="72">
        <f t="shared" si="122"/>
        <v>0</v>
      </c>
    </row>
    <row r="107" spans="1:44" x14ac:dyDescent="0.45">
      <c r="A107" s="118">
        <f t="shared" si="105"/>
        <v>99</v>
      </c>
      <c r="B107" s="79" t="s">
        <v>619</v>
      </c>
      <c r="C107" s="79" t="s">
        <v>713</v>
      </c>
      <c r="D107" s="34"/>
      <c r="E107" s="17">
        <f>SUM(G107:K107)</f>
        <v>204792.6</v>
      </c>
      <c r="F107" s="8">
        <v>100</v>
      </c>
      <c r="G107" s="25">
        <v>0</v>
      </c>
      <c r="H107" s="25">
        <v>0</v>
      </c>
      <c r="I107" s="25">
        <v>24926.79</v>
      </c>
      <c r="J107" s="25">
        <v>0</v>
      </c>
      <c r="K107" s="25">
        <v>179865.81</v>
      </c>
      <c r="L107" s="72">
        <f t="shared" si="112"/>
        <v>0</v>
      </c>
      <c r="N107" s="8">
        <v>202</v>
      </c>
      <c r="O107" s="1">
        <f>VLOOKUP($N107,AF!$B$39:$M$80,O$9)*$G107</f>
        <v>0</v>
      </c>
      <c r="P107" s="1">
        <f>VLOOKUP($N107,AF!$B$39:$M$80,P$9)*$G107</f>
        <v>0</v>
      </c>
      <c r="Q107" s="1">
        <f>VLOOKUP($N107,AF!$B$39:$M$80,Q$9)*$H107</f>
        <v>0</v>
      </c>
      <c r="R107" s="1">
        <f>VLOOKUP($N107,AF!$B$39:$M$80,R$9)*$H107</f>
        <v>0</v>
      </c>
      <c r="S107" s="1">
        <f>VLOOKUP($N107,AF!$B$39:$M$80,S$9)*$I107</f>
        <v>24926.79</v>
      </c>
      <c r="T107" s="1">
        <f>VLOOKUP($N107,AF!$B$39:$M$80,T$9)*$I107</f>
        <v>0</v>
      </c>
      <c r="U107" s="1">
        <f>VLOOKUP($N107,AF!$B$39:$M$80,U$9)*$J107</f>
        <v>0</v>
      </c>
      <c r="V107" s="1">
        <f>VLOOKUP($N107,AF!$B$39:$M$80,V$9)*$J107</f>
        <v>0</v>
      </c>
      <c r="W107" s="1">
        <f t="shared" si="113"/>
        <v>179865.81</v>
      </c>
      <c r="Y107" s="1">
        <f t="shared" si="114"/>
        <v>24926.79</v>
      </c>
      <c r="Z107" s="1">
        <f t="shared" si="115"/>
        <v>0</v>
      </c>
      <c r="AA107" s="1">
        <f t="shared" si="116"/>
        <v>204792.6</v>
      </c>
      <c r="AB107" s="72">
        <f t="shared" si="117"/>
        <v>0</v>
      </c>
      <c r="AD107" s="72">
        <v>300</v>
      </c>
      <c r="AE107" s="1">
        <f>VLOOKUP($AD107,AF!$B$39:$M$80,AE$9)*$O107</f>
        <v>0</v>
      </c>
      <c r="AF107" s="1">
        <f>VLOOKUP($AD107,AF!$B$39:$M$80,AF$9)*$P107</f>
        <v>0</v>
      </c>
      <c r="AG107" s="1">
        <f>VLOOKUP($AD107,AF!$B$39:$M$80,AG$9)*$Q107</f>
        <v>0</v>
      </c>
      <c r="AH107" s="1">
        <f>VLOOKUP($AD107,AF!$B$39:$M$80,AH$9)*$R107</f>
        <v>0</v>
      </c>
      <c r="AI107" s="1">
        <f>VLOOKUP($AD107,AF!$B$39:$M$80,AI$9)*$S107</f>
        <v>24926.79</v>
      </c>
      <c r="AJ107" s="1">
        <f>VLOOKUP($AD107,AF!$B$39:$M$80,AJ$9)*$T107</f>
        <v>0</v>
      </c>
      <c r="AK107" s="1">
        <f>VLOOKUP($AD107,AF!$B$39:$M$80,AK$9)*$U107</f>
        <v>0</v>
      </c>
      <c r="AL107" s="1">
        <f>VLOOKUP($AD107,AF!$B$39:$M$80,AL$9)*$V107</f>
        <v>0</v>
      </c>
      <c r="AM107" s="1">
        <f t="shared" si="118"/>
        <v>179865.81</v>
      </c>
      <c r="AO107" s="1">
        <f t="shared" si="119"/>
        <v>24926.79</v>
      </c>
      <c r="AP107" s="1">
        <f t="shared" si="120"/>
        <v>0</v>
      </c>
      <c r="AQ107" s="1">
        <f t="shared" si="121"/>
        <v>204792.6</v>
      </c>
      <c r="AR107" s="72">
        <f t="shared" si="122"/>
        <v>0</v>
      </c>
    </row>
    <row r="108" spans="1:44" x14ac:dyDescent="0.45">
      <c r="A108" s="118">
        <f t="shared" si="105"/>
        <v>100</v>
      </c>
      <c r="B108" s="57">
        <v>571</v>
      </c>
      <c r="C108" s="34" t="s">
        <v>238</v>
      </c>
      <c r="D108" s="34" t="s">
        <v>74</v>
      </c>
      <c r="E108" s="28">
        <f>175587-E109</f>
        <v>-2.9999999998835847E-2</v>
      </c>
      <c r="F108" s="8">
        <v>101</v>
      </c>
      <c r="G108" s="1">
        <f>VLOOKUP($F108,AF!$B$39:$M$80,G$9)*$E108</f>
        <v>0</v>
      </c>
      <c r="H108" s="1">
        <f>VLOOKUP($F108,AF!$B$39:$M$80,H$9)*$E108</f>
        <v>0</v>
      </c>
      <c r="I108" s="1">
        <f>VLOOKUP($F108,AF!$B$39:$M$80,I$9)*$E108</f>
        <v>0</v>
      </c>
      <c r="J108" s="1">
        <f>VLOOKUP($F108,AF!$B$39:$M$80,J$9)*$E108</f>
        <v>0</v>
      </c>
      <c r="K108" s="1">
        <f t="shared" ref="K108" si="129">E108-SUM(G108:J108)</f>
        <v>-2.9999999998835847E-2</v>
      </c>
      <c r="L108" s="72">
        <f t="shared" si="112"/>
        <v>0</v>
      </c>
      <c r="N108" s="8">
        <v>206</v>
      </c>
      <c r="O108" s="1">
        <f>VLOOKUP($N108,AF!$B$39:$M$80,O$9)*$G108</f>
        <v>0</v>
      </c>
      <c r="P108" s="1">
        <f>VLOOKUP($N108,AF!$B$39:$M$80,P$9)*$G108</f>
        <v>0</v>
      </c>
      <c r="Q108" s="1">
        <f>VLOOKUP($N108,AF!$B$39:$M$80,Q$9)*$H108</f>
        <v>0</v>
      </c>
      <c r="R108" s="1">
        <f>VLOOKUP($N108,AF!$B$39:$M$80,R$9)*$H108</f>
        <v>0</v>
      </c>
      <c r="S108" s="1">
        <f>VLOOKUP($N108,AF!$B$39:$M$80,S$9)*$I108</f>
        <v>0</v>
      </c>
      <c r="T108" s="1">
        <f>VLOOKUP($N108,AF!$B$39:$M$80,T$9)*$I108</f>
        <v>0</v>
      </c>
      <c r="U108" s="1">
        <f>VLOOKUP($N108,AF!$B$39:$M$80,U$9)*$J108</f>
        <v>0</v>
      </c>
      <c r="V108" s="1">
        <f>VLOOKUP($N108,AF!$B$39:$M$80,V$9)*$J108</f>
        <v>0</v>
      </c>
      <c r="W108" s="1">
        <f t="shared" si="113"/>
        <v>-2.9999999998835847E-2</v>
      </c>
      <c r="Y108" s="1">
        <f t="shared" si="114"/>
        <v>0</v>
      </c>
      <c r="Z108" s="1">
        <f t="shared" si="115"/>
        <v>0</v>
      </c>
      <c r="AA108" s="1">
        <f t="shared" si="116"/>
        <v>-2.9999999998835847E-2</v>
      </c>
      <c r="AB108" s="72">
        <f t="shared" si="117"/>
        <v>0</v>
      </c>
      <c r="AD108" s="72">
        <v>300</v>
      </c>
      <c r="AE108" s="1">
        <f>VLOOKUP($AD108,AF!$B$39:$M$80,AE$9)*$O108</f>
        <v>0</v>
      </c>
      <c r="AF108" s="1">
        <f>VLOOKUP($AD108,AF!$B$39:$M$80,AF$9)*$P108</f>
        <v>0</v>
      </c>
      <c r="AG108" s="1">
        <f>VLOOKUP($AD108,AF!$B$39:$M$80,AG$9)*$Q108</f>
        <v>0</v>
      </c>
      <c r="AH108" s="1">
        <f>VLOOKUP($AD108,AF!$B$39:$M$80,AH$9)*$R108</f>
        <v>0</v>
      </c>
      <c r="AI108" s="1">
        <f>VLOOKUP($AD108,AF!$B$39:$M$80,AI$9)*$S108</f>
        <v>0</v>
      </c>
      <c r="AJ108" s="1">
        <f>VLOOKUP($AD108,AF!$B$39:$M$80,AJ$9)*$T108</f>
        <v>0</v>
      </c>
      <c r="AK108" s="1">
        <f>VLOOKUP($AD108,AF!$B$39:$M$80,AK$9)*$U108</f>
        <v>0</v>
      </c>
      <c r="AL108" s="1">
        <f>VLOOKUP($AD108,AF!$B$39:$M$80,AL$9)*$V108</f>
        <v>0</v>
      </c>
      <c r="AM108" s="1">
        <f t="shared" si="118"/>
        <v>-2.9999999998835847E-2</v>
      </c>
      <c r="AO108" s="1">
        <f t="shared" si="119"/>
        <v>0</v>
      </c>
      <c r="AP108" s="1">
        <f t="shared" si="120"/>
        <v>0</v>
      </c>
      <c r="AQ108" s="1">
        <f t="shared" si="121"/>
        <v>-2.9999999998835847E-2</v>
      </c>
      <c r="AR108" s="72">
        <f t="shared" si="122"/>
        <v>0</v>
      </c>
    </row>
    <row r="109" spans="1:44" x14ac:dyDescent="0.45">
      <c r="A109" s="118">
        <f t="shared" si="105"/>
        <v>101</v>
      </c>
      <c r="B109" s="79" t="s">
        <v>620</v>
      </c>
      <c r="C109" s="79" t="s">
        <v>714</v>
      </c>
      <c r="D109" s="34"/>
      <c r="E109" s="17">
        <f>SUM(G109:K109)</f>
        <v>175587.03</v>
      </c>
      <c r="F109" s="8">
        <v>100</v>
      </c>
      <c r="G109" s="25">
        <v>8329.0499999999993</v>
      </c>
      <c r="H109" s="25">
        <v>0</v>
      </c>
      <c r="I109" s="25">
        <v>69691.72</v>
      </c>
      <c r="J109" s="25">
        <v>0</v>
      </c>
      <c r="K109" s="25">
        <v>97566.26</v>
      </c>
      <c r="L109" s="72">
        <f t="shared" si="112"/>
        <v>0</v>
      </c>
      <c r="N109" s="8">
        <v>209</v>
      </c>
      <c r="O109" s="1">
        <f>VLOOKUP($N109,AF!$B$39:$M$80,O$9)*$G109</f>
        <v>6434.0535981515804</v>
      </c>
      <c r="P109" s="1">
        <f>VLOOKUP($N109,AF!$B$39:$M$80,P$9)*$G109</f>
        <v>1894.9964018484186</v>
      </c>
      <c r="Q109" s="1">
        <f>VLOOKUP($N109,AF!$B$39:$M$80,Q$9)*$H109</f>
        <v>0</v>
      </c>
      <c r="R109" s="1">
        <f>VLOOKUP($N109,AF!$B$39:$M$80,R$9)*$H109</f>
        <v>0</v>
      </c>
      <c r="S109" s="1">
        <f>VLOOKUP($N109,AF!$B$39:$M$80,S$9)*$I109</f>
        <v>69691.72</v>
      </c>
      <c r="T109" s="1">
        <f>VLOOKUP($N109,AF!$B$39:$M$80,T$9)*$I109</f>
        <v>0</v>
      </c>
      <c r="U109" s="1">
        <f>VLOOKUP($N109,AF!$B$39:$M$80,U$9)*$J109</f>
        <v>0</v>
      </c>
      <c r="V109" s="1">
        <f>VLOOKUP($N109,AF!$B$39:$M$80,V$9)*$J109</f>
        <v>0</v>
      </c>
      <c r="W109" s="1">
        <f t="shared" si="113"/>
        <v>97566.26</v>
      </c>
      <c r="Y109" s="1">
        <f t="shared" si="114"/>
        <v>76125.773598151587</v>
      </c>
      <c r="Z109" s="1">
        <f t="shared" si="115"/>
        <v>1894.9964018484186</v>
      </c>
      <c r="AA109" s="1">
        <f t="shared" si="116"/>
        <v>175587.03</v>
      </c>
      <c r="AB109" s="72">
        <f t="shared" si="117"/>
        <v>0</v>
      </c>
      <c r="AD109" s="72">
        <v>300</v>
      </c>
      <c r="AE109" s="1">
        <f>VLOOKUP($AD109,AF!$B$39:$M$80,AE$9)*$O109</f>
        <v>6434.0535981515804</v>
      </c>
      <c r="AF109" s="1">
        <f>VLOOKUP($AD109,AF!$B$39:$M$80,AF$9)*$P109</f>
        <v>1894.9964018484186</v>
      </c>
      <c r="AG109" s="1">
        <f>VLOOKUP($AD109,AF!$B$39:$M$80,AG$9)*$Q109</f>
        <v>0</v>
      </c>
      <c r="AH109" s="1">
        <f>VLOOKUP($AD109,AF!$B$39:$M$80,AH$9)*$R109</f>
        <v>0</v>
      </c>
      <c r="AI109" s="1">
        <f>VLOOKUP($AD109,AF!$B$39:$M$80,AI$9)*$S109</f>
        <v>69691.72</v>
      </c>
      <c r="AJ109" s="1">
        <f>VLOOKUP($AD109,AF!$B$39:$M$80,AJ$9)*$T109</f>
        <v>0</v>
      </c>
      <c r="AK109" s="1">
        <f>VLOOKUP($AD109,AF!$B$39:$M$80,AK$9)*$U109</f>
        <v>0</v>
      </c>
      <c r="AL109" s="1">
        <f>VLOOKUP($AD109,AF!$B$39:$M$80,AL$9)*$V109</f>
        <v>0</v>
      </c>
      <c r="AM109" s="1">
        <f t="shared" si="118"/>
        <v>97566.26</v>
      </c>
      <c r="AO109" s="1">
        <f t="shared" si="119"/>
        <v>76125.773598151587</v>
      </c>
      <c r="AP109" s="1">
        <f t="shared" si="120"/>
        <v>1894.9964018484186</v>
      </c>
      <c r="AQ109" s="1">
        <f t="shared" si="121"/>
        <v>175587.03</v>
      </c>
      <c r="AR109" s="72">
        <f t="shared" si="122"/>
        <v>0</v>
      </c>
    </row>
    <row r="110" spans="1:44" x14ac:dyDescent="0.45">
      <c r="A110" s="118">
        <f t="shared" si="105"/>
        <v>102</v>
      </c>
      <c r="B110" s="57">
        <v>572</v>
      </c>
      <c r="C110" s="34" t="s">
        <v>299</v>
      </c>
      <c r="D110" s="34" t="s">
        <v>300</v>
      </c>
      <c r="E110" s="25">
        <v>0</v>
      </c>
      <c r="F110" s="8">
        <v>101</v>
      </c>
      <c r="G110" s="1">
        <f>VLOOKUP($F110,AF!$B$39:$M$80,G$9)*$E110</f>
        <v>0</v>
      </c>
      <c r="H110" s="1">
        <f>VLOOKUP($F110,AF!$B$39:$M$80,H$9)*$E110</f>
        <v>0</v>
      </c>
      <c r="I110" s="1">
        <f>VLOOKUP($F110,AF!$B$39:$M$80,I$9)*$E110</f>
        <v>0</v>
      </c>
      <c r="J110" s="1">
        <f>VLOOKUP($F110,AF!$B$39:$M$80,J$9)*$E110</f>
        <v>0</v>
      </c>
      <c r="K110" s="1">
        <f t="shared" ref="K110" si="130">E110-SUM(G110:J110)</f>
        <v>0</v>
      </c>
      <c r="L110" s="72">
        <f t="shared" si="112"/>
        <v>0</v>
      </c>
      <c r="N110" s="8">
        <v>206</v>
      </c>
      <c r="O110" s="1">
        <f>VLOOKUP($N110,AF!$B$39:$M$80,O$9)*$G110</f>
        <v>0</v>
      </c>
      <c r="P110" s="1">
        <f>VLOOKUP($N110,AF!$B$39:$M$80,P$9)*$G110</f>
        <v>0</v>
      </c>
      <c r="Q110" s="1">
        <f>VLOOKUP($N110,AF!$B$39:$M$80,Q$9)*$H110</f>
        <v>0</v>
      </c>
      <c r="R110" s="1">
        <f>VLOOKUP($N110,AF!$B$39:$M$80,R$9)*$H110</f>
        <v>0</v>
      </c>
      <c r="S110" s="1">
        <f>VLOOKUP($N110,AF!$B$39:$M$80,S$9)*$I110</f>
        <v>0</v>
      </c>
      <c r="T110" s="1">
        <f>VLOOKUP($N110,AF!$B$39:$M$80,T$9)*$I110</f>
        <v>0</v>
      </c>
      <c r="U110" s="1">
        <f>VLOOKUP($N110,AF!$B$39:$M$80,U$9)*$J110</f>
        <v>0</v>
      </c>
      <c r="V110" s="1">
        <f>VLOOKUP($N110,AF!$B$39:$M$80,V$9)*$J110</f>
        <v>0</v>
      </c>
      <c r="W110" s="1">
        <f t="shared" si="113"/>
        <v>0</v>
      </c>
      <c r="Y110" s="1">
        <f t="shared" si="114"/>
        <v>0</v>
      </c>
      <c r="Z110" s="1">
        <f t="shared" si="115"/>
        <v>0</v>
      </c>
      <c r="AA110" s="1">
        <f t="shared" si="116"/>
        <v>0</v>
      </c>
      <c r="AB110" s="72">
        <f t="shared" si="117"/>
        <v>0</v>
      </c>
      <c r="AD110" s="72">
        <v>300</v>
      </c>
      <c r="AE110" s="1">
        <f>VLOOKUP($AD110,AF!$B$39:$M$80,AE$9)*$O110</f>
        <v>0</v>
      </c>
      <c r="AF110" s="1">
        <f>VLOOKUP($AD110,AF!$B$39:$M$80,AF$9)*$P110</f>
        <v>0</v>
      </c>
      <c r="AG110" s="1">
        <f>VLOOKUP($AD110,AF!$B$39:$M$80,AG$9)*$Q110</f>
        <v>0</v>
      </c>
      <c r="AH110" s="1">
        <f>VLOOKUP($AD110,AF!$B$39:$M$80,AH$9)*$R110</f>
        <v>0</v>
      </c>
      <c r="AI110" s="1">
        <f>VLOOKUP($AD110,AF!$B$39:$M$80,AI$9)*$S110</f>
        <v>0</v>
      </c>
      <c r="AJ110" s="1">
        <f>VLOOKUP($AD110,AF!$B$39:$M$80,AJ$9)*$T110</f>
        <v>0</v>
      </c>
      <c r="AK110" s="1">
        <f>VLOOKUP($AD110,AF!$B$39:$M$80,AK$9)*$U110</f>
        <v>0</v>
      </c>
      <c r="AL110" s="1">
        <f>VLOOKUP($AD110,AF!$B$39:$M$80,AL$9)*$V110</f>
        <v>0</v>
      </c>
      <c r="AM110" s="1">
        <f t="shared" si="118"/>
        <v>0</v>
      </c>
      <c r="AO110" s="1">
        <f t="shared" si="119"/>
        <v>0</v>
      </c>
      <c r="AP110" s="1">
        <f t="shared" si="120"/>
        <v>0</v>
      </c>
      <c r="AQ110" s="1">
        <f t="shared" si="121"/>
        <v>0</v>
      </c>
      <c r="AR110" s="72">
        <f t="shared" si="122"/>
        <v>0</v>
      </c>
    </row>
    <row r="111" spans="1:44" x14ac:dyDescent="0.45">
      <c r="A111" s="118">
        <f t="shared" si="105"/>
        <v>103</v>
      </c>
      <c r="B111" s="79" t="s">
        <v>621</v>
      </c>
      <c r="C111" s="79" t="s">
        <v>622</v>
      </c>
      <c r="D111" s="34"/>
      <c r="E111" s="17">
        <f>SUM(G111:K111)</f>
        <v>0</v>
      </c>
      <c r="F111" s="8">
        <v>100</v>
      </c>
      <c r="G111" s="25">
        <v>0</v>
      </c>
      <c r="H111" s="25">
        <v>0</v>
      </c>
      <c r="I111" s="25">
        <v>0</v>
      </c>
      <c r="J111" s="25">
        <v>0</v>
      </c>
      <c r="K111" s="25">
        <v>0</v>
      </c>
      <c r="L111" s="72">
        <f t="shared" si="112"/>
        <v>0</v>
      </c>
      <c r="N111" s="8">
        <v>202</v>
      </c>
      <c r="O111" s="1">
        <f>VLOOKUP($N111,AF!$B$39:$M$80,O$9)*$G111</f>
        <v>0</v>
      </c>
      <c r="P111" s="1">
        <f>VLOOKUP($N111,AF!$B$39:$M$80,P$9)*$G111</f>
        <v>0</v>
      </c>
      <c r="Q111" s="1">
        <f>VLOOKUP($N111,AF!$B$39:$M$80,Q$9)*$H111</f>
        <v>0</v>
      </c>
      <c r="R111" s="1">
        <f>VLOOKUP($N111,AF!$B$39:$M$80,R$9)*$H111</f>
        <v>0</v>
      </c>
      <c r="S111" s="1">
        <f>VLOOKUP($N111,AF!$B$39:$M$80,S$9)*$I111</f>
        <v>0</v>
      </c>
      <c r="T111" s="1">
        <f>VLOOKUP($N111,AF!$B$39:$M$80,T$9)*$I111</f>
        <v>0</v>
      </c>
      <c r="U111" s="1">
        <f>VLOOKUP($N111,AF!$B$39:$M$80,U$9)*$J111</f>
        <v>0</v>
      </c>
      <c r="V111" s="1">
        <f>VLOOKUP($N111,AF!$B$39:$M$80,V$9)*$J111</f>
        <v>0</v>
      </c>
      <c r="W111" s="1">
        <f t="shared" si="113"/>
        <v>0</v>
      </c>
      <c r="Y111" s="1">
        <f t="shared" si="114"/>
        <v>0</v>
      </c>
      <c r="Z111" s="1">
        <f t="shared" si="115"/>
        <v>0</v>
      </c>
      <c r="AA111" s="1">
        <f t="shared" si="116"/>
        <v>0</v>
      </c>
      <c r="AB111" s="72">
        <f t="shared" si="117"/>
        <v>0</v>
      </c>
      <c r="AD111" s="72">
        <v>300</v>
      </c>
      <c r="AE111" s="1">
        <f>VLOOKUP($AD111,AF!$B$39:$M$80,AE$9)*$O111</f>
        <v>0</v>
      </c>
      <c r="AF111" s="1">
        <f>VLOOKUP($AD111,AF!$B$39:$M$80,AF$9)*$P111</f>
        <v>0</v>
      </c>
      <c r="AG111" s="1">
        <f>VLOOKUP($AD111,AF!$B$39:$M$80,AG$9)*$Q111</f>
        <v>0</v>
      </c>
      <c r="AH111" s="1">
        <f>VLOOKUP($AD111,AF!$B$39:$M$80,AH$9)*$R111</f>
        <v>0</v>
      </c>
      <c r="AI111" s="1">
        <f>VLOOKUP($AD111,AF!$B$39:$M$80,AI$9)*$S111</f>
        <v>0</v>
      </c>
      <c r="AJ111" s="1">
        <f>VLOOKUP($AD111,AF!$B$39:$M$80,AJ$9)*$T111</f>
        <v>0</v>
      </c>
      <c r="AK111" s="1">
        <f>VLOOKUP($AD111,AF!$B$39:$M$80,AK$9)*$U111</f>
        <v>0</v>
      </c>
      <c r="AL111" s="1">
        <f>VLOOKUP($AD111,AF!$B$39:$M$80,AL$9)*$V111</f>
        <v>0</v>
      </c>
      <c r="AM111" s="1">
        <f t="shared" si="118"/>
        <v>0</v>
      </c>
      <c r="AO111" s="1">
        <f t="shared" si="119"/>
        <v>0</v>
      </c>
      <c r="AP111" s="1">
        <f t="shared" si="120"/>
        <v>0</v>
      </c>
      <c r="AQ111" s="1">
        <f t="shared" si="121"/>
        <v>0</v>
      </c>
      <c r="AR111" s="72">
        <f t="shared" si="122"/>
        <v>0</v>
      </c>
    </row>
    <row r="112" spans="1:44" x14ac:dyDescent="0.45">
      <c r="A112" s="118">
        <f t="shared" si="105"/>
        <v>104</v>
      </c>
      <c r="B112" s="57">
        <v>573</v>
      </c>
      <c r="C112" s="34" t="s">
        <v>301</v>
      </c>
      <c r="D112" s="34" t="s">
        <v>302</v>
      </c>
      <c r="E112" s="25">
        <v>0</v>
      </c>
      <c r="F112" s="8">
        <v>101</v>
      </c>
      <c r="G112" s="1">
        <f>VLOOKUP($F112,AF!$B$39:$M$80,G$9)*$E112</f>
        <v>0</v>
      </c>
      <c r="H112" s="1">
        <f>VLOOKUP($F112,AF!$B$39:$M$80,H$9)*$E112</f>
        <v>0</v>
      </c>
      <c r="I112" s="1">
        <f>VLOOKUP($F112,AF!$B$39:$M$80,I$9)*$E112</f>
        <v>0</v>
      </c>
      <c r="J112" s="1">
        <f>VLOOKUP($F112,AF!$B$39:$M$80,J$9)*$E112</f>
        <v>0</v>
      </c>
      <c r="K112" s="1">
        <f t="shared" ref="K112" si="131">E112-SUM(G112:J112)</f>
        <v>0</v>
      </c>
      <c r="L112" s="72">
        <f t="shared" si="112"/>
        <v>0</v>
      </c>
      <c r="N112" s="8">
        <v>206</v>
      </c>
      <c r="O112" s="1">
        <f>VLOOKUP($N112,AF!$B$39:$M$80,O$9)*$G112</f>
        <v>0</v>
      </c>
      <c r="P112" s="1">
        <f>VLOOKUP($N112,AF!$B$39:$M$80,P$9)*$G112</f>
        <v>0</v>
      </c>
      <c r="Q112" s="1">
        <f>VLOOKUP($N112,AF!$B$39:$M$80,Q$9)*$H112</f>
        <v>0</v>
      </c>
      <c r="R112" s="1">
        <f>VLOOKUP($N112,AF!$B$39:$M$80,R$9)*$H112</f>
        <v>0</v>
      </c>
      <c r="S112" s="1">
        <f>VLOOKUP($N112,AF!$B$39:$M$80,S$9)*$I112</f>
        <v>0</v>
      </c>
      <c r="T112" s="1">
        <f>VLOOKUP($N112,AF!$B$39:$M$80,T$9)*$I112</f>
        <v>0</v>
      </c>
      <c r="U112" s="1">
        <f>VLOOKUP($N112,AF!$B$39:$M$80,U$9)*$J112</f>
        <v>0</v>
      </c>
      <c r="V112" s="1">
        <f>VLOOKUP($N112,AF!$B$39:$M$80,V$9)*$J112</f>
        <v>0</v>
      </c>
      <c r="W112" s="1">
        <f t="shared" si="113"/>
        <v>0</v>
      </c>
      <c r="Y112" s="1">
        <f t="shared" si="114"/>
        <v>0</v>
      </c>
      <c r="Z112" s="1">
        <f t="shared" si="115"/>
        <v>0</v>
      </c>
      <c r="AA112" s="1">
        <f t="shared" si="116"/>
        <v>0</v>
      </c>
      <c r="AB112" s="72">
        <f t="shared" si="117"/>
        <v>0</v>
      </c>
      <c r="AD112" s="72">
        <v>300</v>
      </c>
      <c r="AE112" s="1">
        <f>VLOOKUP($AD112,AF!$B$39:$M$80,AE$9)*$O112</f>
        <v>0</v>
      </c>
      <c r="AF112" s="1">
        <f>VLOOKUP($AD112,AF!$B$39:$M$80,AF$9)*$P112</f>
        <v>0</v>
      </c>
      <c r="AG112" s="1">
        <f>VLOOKUP($AD112,AF!$B$39:$M$80,AG$9)*$Q112</f>
        <v>0</v>
      </c>
      <c r="AH112" s="1">
        <f>VLOOKUP($AD112,AF!$B$39:$M$80,AH$9)*$R112</f>
        <v>0</v>
      </c>
      <c r="AI112" s="1">
        <f>VLOOKUP($AD112,AF!$B$39:$M$80,AI$9)*$S112</f>
        <v>0</v>
      </c>
      <c r="AJ112" s="1">
        <f>VLOOKUP($AD112,AF!$B$39:$M$80,AJ$9)*$T112</f>
        <v>0</v>
      </c>
      <c r="AK112" s="1">
        <f>VLOOKUP($AD112,AF!$B$39:$M$80,AK$9)*$U112</f>
        <v>0</v>
      </c>
      <c r="AL112" s="1">
        <f>VLOOKUP($AD112,AF!$B$39:$M$80,AL$9)*$V112</f>
        <v>0</v>
      </c>
      <c r="AM112" s="1">
        <f t="shared" si="118"/>
        <v>0</v>
      </c>
      <c r="AO112" s="1">
        <f t="shared" si="119"/>
        <v>0</v>
      </c>
      <c r="AP112" s="1">
        <f t="shared" si="120"/>
        <v>0</v>
      </c>
      <c r="AQ112" s="1">
        <f t="shared" si="121"/>
        <v>0</v>
      </c>
      <c r="AR112" s="72">
        <f t="shared" si="122"/>
        <v>0</v>
      </c>
    </row>
    <row r="113" spans="1:44" x14ac:dyDescent="0.45">
      <c r="A113" s="118">
        <f t="shared" si="105"/>
        <v>105</v>
      </c>
      <c r="B113" s="79" t="s">
        <v>623</v>
      </c>
      <c r="C113" s="79" t="s">
        <v>624</v>
      </c>
      <c r="D113" s="34"/>
      <c r="E113" s="17">
        <f>SUM(G113:K113)</f>
        <v>0</v>
      </c>
      <c r="F113" s="8">
        <v>100</v>
      </c>
      <c r="G113" s="25">
        <v>0</v>
      </c>
      <c r="H113" s="25">
        <v>0</v>
      </c>
      <c r="I113" s="25">
        <v>0</v>
      </c>
      <c r="J113" s="25">
        <v>0</v>
      </c>
      <c r="K113" s="25">
        <v>0</v>
      </c>
      <c r="L113" s="72">
        <f t="shared" si="112"/>
        <v>0</v>
      </c>
      <c r="N113" s="8">
        <v>202</v>
      </c>
      <c r="O113" s="1">
        <f>VLOOKUP($N113,AF!$B$39:$M$80,O$9)*$G113</f>
        <v>0</v>
      </c>
      <c r="P113" s="1">
        <f>VLOOKUP($N113,AF!$B$39:$M$80,P$9)*$G113</f>
        <v>0</v>
      </c>
      <c r="Q113" s="1">
        <f>VLOOKUP($N113,AF!$B$39:$M$80,Q$9)*$H113</f>
        <v>0</v>
      </c>
      <c r="R113" s="1">
        <f>VLOOKUP($N113,AF!$B$39:$M$80,R$9)*$H113</f>
        <v>0</v>
      </c>
      <c r="S113" s="1">
        <f>VLOOKUP($N113,AF!$B$39:$M$80,S$9)*$I113</f>
        <v>0</v>
      </c>
      <c r="T113" s="1">
        <f>VLOOKUP($N113,AF!$B$39:$M$80,T$9)*$I113</f>
        <v>0</v>
      </c>
      <c r="U113" s="1">
        <f>VLOOKUP($N113,AF!$B$39:$M$80,U$9)*$J113</f>
        <v>0</v>
      </c>
      <c r="V113" s="1">
        <f>VLOOKUP($N113,AF!$B$39:$M$80,V$9)*$J113</f>
        <v>0</v>
      </c>
      <c r="W113" s="1">
        <f t="shared" si="113"/>
        <v>0</v>
      </c>
      <c r="Y113" s="1">
        <f t="shared" si="114"/>
        <v>0</v>
      </c>
      <c r="Z113" s="1">
        <f t="shared" si="115"/>
        <v>0</v>
      </c>
      <c r="AA113" s="1">
        <f t="shared" si="116"/>
        <v>0</v>
      </c>
      <c r="AB113" s="72">
        <f t="shared" si="117"/>
        <v>0</v>
      </c>
      <c r="AD113" s="72">
        <v>300</v>
      </c>
      <c r="AE113" s="1">
        <f>VLOOKUP($AD113,AF!$B$39:$M$80,AE$9)*$O113</f>
        <v>0</v>
      </c>
      <c r="AF113" s="1">
        <f>VLOOKUP($AD113,AF!$B$39:$M$80,AF$9)*$P113</f>
        <v>0</v>
      </c>
      <c r="AG113" s="1">
        <f>VLOOKUP($AD113,AF!$B$39:$M$80,AG$9)*$Q113</f>
        <v>0</v>
      </c>
      <c r="AH113" s="1">
        <f>VLOOKUP($AD113,AF!$B$39:$M$80,AH$9)*$R113</f>
        <v>0</v>
      </c>
      <c r="AI113" s="1">
        <f>VLOOKUP($AD113,AF!$B$39:$M$80,AI$9)*$S113</f>
        <v>0</v>
      </c>
      <c r="AJ113" s="1">
        <f>VLOOKUP($AD113,AF!$B$39:$M$80,AJ$9)*$T113</f>
        <v>0</v>
      </c>
      <c r="AK113" s="1">
        <f>VLOOKUP($AD113,AF!$B$39:$M$80,AK$9)*$U113</f>
        <v>0</v>
      </c>
      <c r="AL113" s="1">
        <f>VLOOKUP($AD113,AF!$B$39:$M$80,AL$9)*$V113</f>
        <v>0</v>
      </c>
      <c r="AM113" s="1">
        <f t="shared" si="118"/>
        <v>0</v>
      </c>
      <c r="AO113" s="1">
        <f t="shared" si="119"/>
        <v>0</v>
      </c>
      <c r="AP113" s="1">
        <f t="shared" si="120"/>
        <v>0</v>
      </c>
      <c r="AQ113" s="1">
        <f t="shared" si="121"/>
        <v>0</v>
      </c>
      <c r="AR113" s="72">
        <f t="shared" si="122"/>
        <v>0</v>
      </c>
    </row>
    <row r="114" spans="1:44" x14ac:dyDescent="0.45">
      <c r="A114" s="118">
        <f t="shared" si="105"/>
        <v>106</v>
      </c>
      <c r="B114" s="34"/>
      <c r="C114" s="34" t="s">
        <v>0</v>
      </c>
      <c r="D114" s="34"/>
      <c r="E114" s="33">
        <f>SUM(E94:E113)</f>
        <v>380380</v>
      </c>
      <c r="F114" s="72"/>
      <c r="G114" s="33">
        <f t="shared" ref="G114:K114" si="132">SUM(G94:G113)</f>
        <v>8329.0499999999993</v>
      </c>
      <c r="H114" s="33">
        <f t="shared" si="132"/>
        <v>0</v>
      </c>
      <c r="I114" s="33">
        <f t="shared" si="132"/>
        <v>94618.510000000009</v>
      </c>
      <c r="J114" s="33">
        <f t="shared" si="132"/>
        <v>0</v>
      </c>
      <c r="K114" s="33">
        <f t="shared" si="132"/>
        <v>277432.44</v>
      </c>
      <c r="L114" s="72">
        <f t="shared" si="112"/>
        <v>0</v>
      </c>
      <c r="N114" s="72"/>
      <c r="O114" s="33">
        <f t="shared" ref="O114:W114" si="133">SUM(O94:O113)</f>
        <v>6434.0535981515804</v>
      </c>
      <c r="P114" s="33">
        <f t="shared" si="133"/>
        <v>1894.9964018484186</v>
      </c>
      <c r="Q114" s="33">
        <f t="shared" si="133"/>
        <v>0</v>
      </c>
      <c r="R114" s="33">
        <f t="shared" si="133"/>
        <v>0</v>
      </c>
      <c r="S114" s="33">
        <f t="shared" si="133"/>
        <v>94618.510000000009</v>
      </c>
      <c r="T114" s="33">
        <f t="shared" si="133"/>
        <v>0</v>
      </c>
      <c r="U114" s="33">
        <f t="shared" si="133"/>
        <v>0</v>
      </c>
      <c r="V114" s="33">
        <f t="shared" si="133"/>
        <v>0</v>
      </c>
      <c r="W114" s="33">
        <f t="shared" si="133"/>
        <v>277432.44</v>
      </c>
      <c r="Y114" s="33">
        <f t="shared" ref="Y114:AA114" si="134">SUM(Y94:Y113)</f>
        <v>101052.56359815158</v>
      </c>
      <c r="Z114" s="33">
        <f t="shared" si="134"/>
        <v>1894.9964018484186</v>
      </c>
      <c r="AA114" s="33">
        <f t="shared" si="134"/>
        <v>380380</v>
      </c>
      <c r="AB114" s="72">
        <f t="shared" si="117"/>
        <v>0</v>
      </c>
      <c r="AD114" s="72"/>
      <c r="AE114" s="33">
        <f t="shared" ref="AE114:AM114" si="135">SUM(AE94:AE113)</f>
        <v>6434.0535981515804</v>
      </c>
      <c r="AF114" s="33">
        <f t="shared" si="135"/>
        <v>1894.9964018484186</v>
      </c>
      <c r="AG114" s="33">
        <f t="shared" si="135"/>
        <v>0</v>
      </c>
      <c r="AH114" s="33">
        <f t="shared" si="135"/>
        <v>0</v>
      </c>
      <c r="AI114" s="33">
        <f t="shared" si="135"/>
        <v>94618.510000000009</v>
      </c>
      <c r="AJ114" s="33">
        <f t="shared" si="135"/>
        <v>0</v>
      </c>
      <c r="AK114" s="33">
        <f t="shared" si="135"/>
        <v>0</v>
      </c>
      <c r="AL114" s="33">
        <f t="shared" si="135"/>
        <v>0</v>
      </c>
      <c r="AM114" s="33">
        <f t="shared" si="135"/>
        <v>277432.44</v>
      </c>
      <c r="AO114" s="33">
        <f t="shared" ref="AO114:AQ114" si="136">SUM(AO94:AO113)</f>
        <v>101052.56359815158</v>
      </c>
      <c r="AP114" s="33">
        <f t="shared" si="136"/>
        <v>1894.9964018484186</v>
      </c>
      <c r="AQ114" s="33">
        <f t="shared" si="136"/>
        <v>380380</v>
      </c>
      <c r="AR114" s="72">
        <f t="shared" si="122"/>
        <v>0</v>
      </c>
    </row>
    <row r="115" spans="1:44" x14ac:dyDescent="0.45">
      <c r="A115" s="118">
        <f t="shared" si="105"/>
        <v>107</v>
      </c>
      <c r="B115" s="34"/>
      <c r="C115" s="34"/>
      <c r="D115" s="34"/>
      <c r="E115" s="31"/>
      <c r="F115" s="72"/>
      <c r="G115" s="31"/>
      <c r="H115" s="31"/>
      <c r="I115" s="31"/>
      <c r="J115" s="31"/>
      <c r="K115" s="31"/>
      <c r="L115" s="72"/>
      <c r="N115" s="72"/>
      <c r="O115" s="31"/>
      <c r="P115" s="31"/>
      <c r="Q115" s="31"/>
      <c r="R115" s="31"/>
      <c r="S115" s="31"/>
      <c r="T115" s="31"/>
      <c r="U115" s="31"/>
      <c r="V115" s="31"/>
      <c r="W115" s="31"/>
      <c r="Y115" s="31"/>
      <c r="Z115" s="31"/>
      <c r="AA115" s="31"/>
      <c r="AB115" s="72"/>
      <c r="AD115" s="72"/>
      <c r="AE115" s="31"/>
      <c r="AF115" s="31"/>
      <c r="AG115" s="31"/>
      <c r="AH115" s="31"/>
      <c r="AI115" s="31"/>
      <c r="AJ115" s="31"/>
      <c r="AK115" s="31"/>
      <c r="AL115" s="31"/>
      <c r="AM115" s="31"/>
      <c r="AO115" s="31"/>
      <c r="AP115" s="31"/>
      <c r="AQ115" s="31"/>
      <c r="AR115" s="72"/>
    </row>
    <row r="116" spans="1:44" x14ac:dyDescent="0.45">
      <c r="A116" s="118">
        <f t="shared" si="105"/>
        <v>108</v>
      </c>
      <c r="B116" s="34"/>
      <c r="C116" s="34"/>
      <c r="D116" s="34"/>
      <c r="E116" s="37"/>
      <c r="F116" s="74"/>
      <c r="G116" s="88"/>
      <c r="H116" s="88"/>
      <c r="I116" s="88"/>
      <c r="J116" s="88"/>
      <c r="K116" s="88"/>
      <c r="L116" s="74"/>
      <c r="N116" s="74"/>
      <c r="O116" s="88"/>
      <c r="P116" s="88"/>
      <c r="Q116" s="88"/>
      <c r="R116" s="88"/>
      <c r="S116" s="88"/>
      <c r="T116" s="88"/>
      <c r="U116" s="88"/>
      <c r="V116" s="88"/>
      <c r="W116" s="88"/>
      <c r="Y116" s="88"/>
      <c r="Z116" s="88"/>
      <c r="AA116" s="88"/>
      <c r="AB116" s="74"/>
      <c r="AD116" s="74"/>
      <c r="AE116" s="88"/>
      <c r="AF116" s="88"/>
      <c r="AG116" s="88"/>
      <c r="AH116" s="88"/>
      <c r="AI116" s="88"/>
      <c r="AJ116" s="88"/>
      <c r="AK116" s="88"/>
      <c r="AL116" s="88"/>
      <c r="AM116" s="88"/>
      <c r="AO116" s="88"/>
      <c r="AP116" s="88"/>
      <c r="AQ116" s="88"/>
      <c r="AR116" s="74"/>
    </row>
    <row r="117" spans="1:44" ht="14.65" thickBot="1" x14ac:dyDescent="0.5">
      <c r="A117" s="118">
        <f t="shared" si="105"/>
        <v>109</v>
      </c>
      <c r="B117" s="34" t="s">
        <v>393</v>
      </c>
      <c r="C117" s="34"/>
      <c r="D117" s="34"/>
      <c r="E117" s="62">
        <f>+E91+E114</f>
        <v>70463026</v>
      </c>
      <c r="F117" s="29"/>
      <c r="G117" s="62">
        <f t="shared" ref="G117:K117" si="137">+G91+G114</f>
        <v>17731.139742120344</v>
      </c>
      <c r="H117" s="62">
        <f t="shared" si="137"/>
        <v>29977.074785100289</v>
      </c>
      <c r="I117" s="62">
        <f t="shared" si="137"/>
        <v>192864.54426934099</v>
      </c>
      <c r="J117" s="62">
        <f t="shared" si="137"/>
        <v>0</v>
      </c>
      <c r="K117" s="62">
        <f t="shared" si="137"/>
        <v>70222453.241203442</v>
      </c>
      <c r="L117" s="72">
        <f>$E117-SUM(G117:K117)</f>
        <v>0</v>
      </c>
      <c r="N117" s="29"/>
      <c r="O117" s="62">
        <f t="shared" ref="O117:W117" si="138">+O91+O114</f>
        <v>8001.0685551716379</v>
      </c>
      <c r="P117" s="62">
        <f t="shared" si="138"/>
        <v>9730.0711869487059</v>
      </c>
      <c r="Q117" s="62">
        <f t="shared" si="138"/>
        <v>29977.074785100289</v>
      </c>
      <c r="R117" s="62">
        <f t="shared" si="138"/>
        <v>0</v>
      </c>
      <c r="S117" s="62">
        <f t="shared" si="138"/>
        <v>192864.54426934099</v>
      </c>
      <c r="T117" s="62">
        <f t="shared" si="138"/>
        <v>0</v>
      </c>
      <c r="U117" s="62">
        <f t="shared" si="138"/>
        <v>0</v>
      </c>
      <c r="V117" s="62">
        <f t="shared" si="138"/>
        <v>0</v>
      </c>
      <c r="W117" s="62">
        <f t="shared" si="138"/>
        <v>70222453.241203442</v>
      </c>
      <c r="Y117" s="62">
        <f t="shared" ref="Y117:AA117" si="139">+Y91+Y114</f>
        <v>230842.68760961288</v>
      </c>
      <c r="Z117" s="62">
        <f t="shared" si="139"/>
        <v>9730.0711869487059</v>
      </c>
      <c r="AA117" s="62">
        <f t="shared" si="139"/>
        <v>70463026</v>
      </c>
      <c r="AB117" s="72">
        <f t="shared" ref="AB117" si="140">$E117-AA117</f>
        <v>0</v>
      </c>
      <c r="AD117" s="29"/>
      <c r="AE117" s="62">
        <f t="shared" ref="AE117:AM117" si="141">+AE91+AE114</f>
        <v>8001.0685551716379</v>
      </c>
      <c r="AF117" s="62">
        <f t="shared" si="141"/>
        <v>9730.0711869487059</v>
      </c>
      <c r="AG117" s="62">
        <f t="shared" si="141"/>
        <v>29977.074785100289</v>
      </c>
      <c r="AH117" s="62">
        <f t="shared" si="141"/>
        <v>0</v>
      </c>
      <c r="AI117" s="62">
        <f t="shared" si="141"/>
        <v>192864.54426934099</v>
      </c>
      <c r="AJ117" s="62">
        <f t="shared" si="141"/>
        <v>0</v>
      </c>
      <c r="AK117" s="62">
        <f t="shared" si="141"/>
        <v>0</v>
      </c>
      <c r="AL117" s="62">
        <f t="shared" si="141"/>
        <v>0</v>
      </c>
      <c r="AM117" s="62">
        <f t="shared" si="141"/>
        <v>70222453.241203442</v>
      </c>
      <c r="AO117" s="62">
        <f t="shared" ref="AO117:AQ117" si="142">+AO91+AO114</f>
        <v>230842.68760961288</v>
      </c>
      <c r="AP117" s="62">
        <f t="shared" si="142"/>
        <v>9730.0711869487059</v>
      </c>
      <c r="AQ117" s="62">
        <f t="shared" si="142"/>
        <v>70463026</v>
      </c>
      <c r="AR117" s="72">
        <f t="shared" ref="AR117" si="143">$E117-AQ117</f>
        <v>0</v>
      </c>
    </row>
    <row r="118" spans="1:44" ht="14.65" thickTop="1" x14ac:dyDescent="0.45">
      <c r="A118" s="118">
        <f t="shared" si="105"/>
        <v>110</v>
      </c>
      <c r="B118" s="34"/>
      <c r="C118" s="34"/>
      <c r="D118" s="34"/>
      <c r="E118" s="34"/>
      <c r="F118" s="74"/>
      <c r="G118" s="88"/>
      <c r="H118" s="88"/>
      <c r="I118" s="88"/>
      <c r="J118" s="88"/>
      <c r="K118" s="88"/>
      <c r="L118" s="74"/>
      <c r="N118" s="74"/>
      <c r="O118" s="88"/>
      <c r="P118" s="88"/>
      <c r="Q118" s="88"/>
      <c r="R118" s="88"/>
      <c r="S118" s="88"/>
      <c r="T118" s="88"/>
      <c r="U118" s="88"/>
      <c r="V118" s="88"/>
      <c r="W118" s="88"/>
      <c r="Y118" s="88"/>
      <c r="Z118" s="88"/>
      <c r="AA118" s="88"/>
      <c r="AB118" s="74"/>
      <c r="AD118" s="74"/>
      <c r="AE118" s="88"/>
      <c r="AF118" s="88"/>
      <c r="AG118" s="88"/>
      <c r="AH118" s="88"/>
      <c r="AI118" s="88"/>
      <c r="AJ118" s="88"/>
      <c r="AK118" s="88"/>
      <c r="AL118" s="88"/>
      <c r="AM118" s="88"/>
      <c r="AO118" s="88"/>
      <c r="AP118" s="88"/>
      <c r="AQ118" s="88"/>
      <c r="AR118" s="74"/>
    </row>
    <row r="119" spans="1:44" x14ac:dyDescent="0.45">
      <c r="A119" s="118">
        <f t="shared" si="105"/>
        <v>111</v>
      </c>
      <c r="B119" s="35" t="s">
        <v>407</v>
      </c>
      <c r="C119" s="35"/>
      <c r="D119" s="34"/>
      <c r="E119" s="34"/>
      <c r="F119" s="74"/>
      <c r="G119" s="88"/>
      <c r="H119" s="88"/>
      <c r="I119" s="88"/>
      <c r="J119" s="88"/>
      <c r="K119" s="88"/>
      <c r="L119" s="74"/>
      <c r="N119" s="74"/>
      <c r="O119" s="88"/>
      <c r="P119" s="88"/>
      <c r="Q119" s="88"/>
      <c r="R119" s="88"/>
      <c r="S119" s="88"/>
      <c r="T119" s="88"/>
      <c r="U119" s="88"/>
      <c r="V119" s="88"/>
      <c r="W119" s="88"/>
      <c r="Y119" s="88"/>
      <c r="Z119" s="88"/>
      <c r="AA119" s="88"/>
      <c r="AB119" s="74"/>
      <c r="AD119" s="74"/>
      <c r="AE119" s="88"/>
      <c r="AF119" s="88"/>
      <c r="AG119" s="88"/>
      <c r="AH119" s="88"/>
      <c r="AI119" s="88"/>
      <c r="AJ119" s="88"/>
      <c r="AK119" s="88"/>
      <c r="AL119" s="88"/>
      <c r="AM119" s="88"/>
      <c r="AO119" s="88"/>
      <c r="AP119" s="88"/>
      <c r="AQ119" s="88"/>
      <c r="AR119" s="74"/>
    </row>
    <row r="120" spans="1:44" x14ac:dyDescent="0.45">
      <c r="A120" s="118">
        <f t="shared" si="105"/>
        <v>112</v>
      </c>
      <c r="B120" s="57">
        <v>575.1</v>
      </c>
      <c r="C120" s="34" t="s">
        <v>365</v>
      </c>
      <c r="D120" s="34" t="s">
        <v>394</v>
      </c>
      <c r="E120" s="25">
        <v>563908</v>
      </c>
      <c r="F120" s="8">
        <v>101</v>
      </c>
      <c r="G120" s="1">
        <f>VLOOKUP($F120,AF!$B$39:$M$80,G$9)*$E120</f>
        <v>0</v>
      </c>
      <c r="H120" s="1">
        <f>VLOOKUP($F120,AF!$B$39:$M$80,H$9)*$E120</f>
        <v>0</v>
      </c>
      <c r="I120" s="1">
        <f>VLOOKUP($F120,AF!$B$39:$M$80,I$9)*$E120</f>
        <v>0</v>
      </c>
      <c r="J120" s="1">
        <f>VLOOKUP($F120,AF!$B$39:$M$80,J$9)*$E120</f>
        <v>0</v>
      </c>
      <c r="K120" s="1">
        <f t="shared" ref="K120:K127" si="144">E120-SUM(G120:J120)</f>
        <v>563908</v>
      </c>
      <c r="L120" s="72">
        <f t="shared" ref="L120:L128" si="145">$E120-SUM(G120:K120)</f>
        <v>0</v>
      </c>
      <c r="N120" s="8">
        <v>206</v>
      </c>
      <c r="O120" s="1">
        <f>VLOOKUP($N120,AF!$B$39:$M$80,O$9)*$G120</f>
        <v>0</v>
      </c>
      <c r="P120" s="1">
        <f>VLOOKUP($N120,AF!$B$39:$M$80,P$9)*$G120</f>
        <v>0</v>
      </c>
      <c r="Q120" s="1">
        <f>VLOOKUP($N120,AF!$B$39:$M$80,Q$9)*$H120</f>
        <v>0</v>
      </c>
      <c r="R120" s="1">
        <f>VLOOKUP($N120,AF!$B$39:$M$80,R$9)*$H120</f>
        <v>0</v>
      </c>
      <c r="S120" s="1">
        <f>VLOOKUP($N120,AF!$B$39:$M$80,S$9)*$I120</f>
        <v>0</v>
      </c>
      <c r="T120" s="1">
        <f>VLOOKUP($N120,AF!$B$39:$M$80,T$9)*$I120</f>
        <v>0</v>
      </c>
      <c r="U120" s="1">
        <f>VLOOKUP($N120,AF!$B$39:$M$80,U$9)*$J120</f>
        <v>0</v>
      </c>
      <c r="V120" s="1">
        <f>VLOOKUP($N120,AF!$B$39:$M$80,V$9)*$J120</f>
        <v>0</v>
      </c>
      <c r="W120" s="1">
        <f t="shared" ref="W120:W127" si="146">E120-SUM(O120:V120)</f>
        <v>563908</v>
      </c>
      <c r="Y120" s="1">
        <f t="shared" ref="Y120:Z127" si="147">+O120+Q120+S120+U120</f>
        <v>0</v>
      </c>
      <c r="Z120" s="1">
        <f t="shared" si="147"/>
        <v>0</v>
      </c>
      <c r="AA120" s="1">
        <f t="shared" ref="AA120:AA127" si="148">+Z120+Y120+W120</f>
        <v>563908</v>
      </c>
      <c r="AB120" s="72">
        <f t="shared" ref="AB120:AB128" si="149">$E120-AA120</f>
        <v>0</v>
      </c>
      <c r="AD120" s="72">
        <v>302</v>
      </c>
      <c r="AE120" s="1">
        <f>VLOOKUP($AD120,AF!$B$39:$M$80,AE$9)*$O120</f>
        <v>0</v>
      </c>
      <c r="AF120" s="1">
        <f>VLOOKUP($AD120,AF!$B$39:$M$80,AF$9)*$P120</f>
        <v>0</v>
      </c>
      <c r="AG120" s="1">
        <f>VLOOKUP($AD120,AF!$B$39:$M$80,AG$9)*$Q120</f>
        <v>0</v>
      </c>
      <c r="AH120" s="1">
        <f>VLOOKUP($AD120,AF!$B$39:$M$80,AH$9)*$R120</f>
        <v>0</v>
      </c>
      <c r="AI120" s="1">
        <f>VLOOKUP($AD120,AF!$B$39:$M$80,AI$9)*$S120</f>
        <v>0</v>
      </c>
      <c r="AJ120" s="1">
        <f>VLOOKUP($AD120,AF!$B$39:$M$80,AJ$9)*$T120</f>
        <v>0</v>
      </c>
      <c r="AK120" s="1">
        <f>VLOOKUP($AD120,AF!$B$39:$M$80,AK$9)*$U120</f>
        <v>0</v>
      </c>
      <c r="AL120" s="1">
        <f>VLOOKUP($AD120,AF!$B$39:$M$80,AL$9)*$V120</f>
        <v>0</v>
      </c>
      <c r="AM120" s="1">
        <f t="shared" ref="AM120:AM127" si="150">E120-SUM(AE120:AL120)</f>
        <v>563908</v>
      </c>
      <c r="AO120" s="1">
        <f t="shared" ref="AO120:AP127" si="151">+AE120+AG120+AI120+AK120</f>
        <v>0</v>
      </c>
      <c r="AP120" s="1">
        <f t="shared" si="151"/>
        <v>0</v>
      </c>
      <c r="AQ120" s="1">
        <f t="shared" ref="AQ120:AQ127" si="152">+AP120+AO120+AM120</f>
        <v>563908</v>
      </c>
      <c r="AR120" s="72">
        <f t="shared" ref="AR120:AR128" si="153">$E120-AQ120</f>
        <v>0</v>
      </c>
    </row>
    <row r="121" spans="1:44" x14ac:dyDescent="0.45">
      <c r="A121" s="118">
        <f t="shared" si="105"/>
        <v>113</v>
      </c>
      <c r="B121" s="57">
        <v>575.20000000000005</v>
      </c>
      <c r="C121" s="34" t="s">
        <v>366</v>
      </c>
      <c r="D121" s="34" t="s">
        <v>395</v>
      </c>
      <c r="E121" s="25">
        <v>0</v>
      </c>
      <c r="F121" s="8">
        <v>101</v>
      </c>
      <c r="G121" s="1">
        <f>VLOOKUP($F121,AF!$B$39:$M$80,G$9)*$E121</f>
        <v>0</v>
      </c>
      <c r="H121" s="1">
        <f>VLOOKUP($F121,AF!$B$39:$M$80,H$9)*$E121</f>
        <v>0</v>
      </c>
      <c r="I121" s="1">
        <f>VLOOKUP($F121,AF!$B$39:$M$80,I$9)*$E121</f>
        <v>0</v>
      </c>
      <c r="J121" s="1">
        <f>VLOOKUP($F121,AF!$B$39:$M$80,J$9)*$E121</f>
        <v>0</v>
      </c>
      <c r="K121" s="1">
        <f t="shared" si="144"/>
        <v>0</v>
      </c>
      <c r="L121" s="72">
        <f t="shared" si="145"/>
        <v>0</v>
      </c>
      <c r="N121" s="8">
        <v>206</v>
      </c>
      <c r="O121" s="1">
        <f>VLOOKUP($N121,AF!$B$39:$M$80,O$9)*$G121</f>
        <v>0</v>
      </c>
      <c r="P121" s="1">
        <f>VLOOKUP($N121,AF!$B$39:$M$80,P$9)*$G121</f>
        <v>0</v>
      </c>
      <c r="Q121" s="1">
        <f>VLOOKUP($N121,AF!$B$39:$M$80,Q$9)*$H121</f>
        <v>0</v>
      </c>
      <c r="R121" s="1">
        <f>VLOOKUP($N121,AF!$B$39:$M$80,R$9)*$H121</f>
        <v>0</v>
      </c>
      <c r="S121" s="1">
        <f>VLOOKUP($N121,AF!$B$39:$M$80,S$9)*$I121</f>
        <v>0</v>
      </c>
      <c r="T121" s="1">
        <f>VLOOKUP($N121,AF!$B$39:$M$80,T$9)*$I121</f>
        <v>0</v>
      </c>
      <c r="U121" s="1">
        <f>VLOOKUP($N121,AF!$B$39:$M$80,U$9)*$J121</f>
        <v>0</v>
      </c>
      <c r="V121" s="1">
        <f>VLOOKUP($N121,AF!$B$39:$M$80,V$9)*$J121</f>
        <v>0</v>
      </c>
      <c r="W121" s="1">
        <f t="shared" si="146"/>
        <v>0</v>
      </c>
      <c r="Y121" s="1">
        <f t="shared" si="147"/>
        <v>0</v>
      </c>
      <c r="Z121" s="1">
        <f t="shared" si="147"/>
        <v>0</v>
      </c>
      <c r="AA121" s="1">
        <f t="shared" si="148"/>
        <v>0</v>
      </c>
      <c r="AB121" s="72">
        <f t="shared" si="149"/>
        <v>0</v>
      </c>
      <c r="AD121" s="72">
        <v>302</v>
      </c>
      <c r="AE121" s="1">
        <f>VLOOKUP($AD121,AF!$B$39:$M$80,AE$9)*$O121</f>
        <v>0</v>
      </c>
      <c r="AF121" s="1">
        <f>VLOOKUP($AD121,AF!$B$39:$M$80,AF$9)*$P121</f>
        <v>0</v>
      </c>
      <c r="AG121" s="1">
        <f>VLOOKUP($AD121,AF!$B$39:$M$80,AG$9)*$Q121</f>
        <v>0</v>
      </c>
      <c r="AH121" s="1">
        <f>VLOOKUP($AD121,AF!$B$39:$M$80,AH$9)*$R121</f>
        <v>0</v>
      </c>
      <c r="AI121" s="1">
        <f>VLOOKUP($AD121,AF!$B$39:$M$80,AI$9)*$S121</f>
        <v>0</v>
      </c>
      <c r="AJ121" s="1">
        <f>VLOOKUP($AD121,AF!$B$39:$M$80,AJ$9)*$T121</f>
        <v>0</v>
      </c>
      <c r="AK121" s="1">
        <f>VLOOKUP($AD121,AF!$B$39:$M$80,AK$9)*$U121</f>
        <v>0</v>
      </c>
      <c r="AL121" s="1">
        <f>VLOOKUP($AD121,AF!$B$39:$M$80,AL$9)*$V121</f>
        <v>0</v>
      </c>
      <c r="AM121" s="1">
        <f t="shared" si="150"/>
        <v>0</v>
      </c>
      <c r="AO121" s="1">
        <f t="shared" si="151"/>
        <v>0</v>
      </c>
      <c r="AP121" s="1">
        <f t="shared" si="151"/>
        <v>0</v>
      </c>
      <c r="AQ121" s="1">
        <f t="shared" si="152"/>
        <v>0</v>
      </c>
      <c r="AR121" s="72">
        <f t="shared" si="153"/>
        <v>0</v>
      </c>
    </row>
    <row r="122" spans="1:44" x14ac:dyDescent="0.45">
      <c r="A122" s="118">
        <f t="shared" si="105"/>
        <v>114</v>
      </c>
      <c r="B122" s="57">
        <v>575.29999999999995</v>
      </c>
      <c r="C122" s="34" t="s">
        <v>367</v>
      </c>
      <c r="D122" s="34" t="s">
        <v>396</v>
      </c>
      <c r="E122" s="25">
        <v>0</v>
      </c>
      <c r="F122" s="8">
        <v>101</v>
      </c>
      <c r="G122" s="1">
        <f>VLOOKUP($F122,AF!$B$39:$M$80,G$9)*$E122</f>
        <v>0</v>
      </c>
      <c r="H122" s="1">
        <f>VLOOKUP($F122,AF!$B$39:$M$80,H$9)*$E122</f>
        <v>0</v>
      </c>
      <c r="I122" s="1">
        <f>VLOOKUP($F122,AF!$B$39:$M$80,I$9)*$E122</f>
        <v>0</v>
      </c>
      <c r="J122" s="1">
        <f>VLOOKUP($F122,AF!$B$39:$M$80,J$9)*$E122</f>
        <v>0</v>
      </c>
      <c r="K122" s="1">
        <f t="shared" si="144"/>
        <v>0</v>
      </c>
      <c r="L122" s="72">
        <f t="shared" si="145"/>
        <v>0</v>
      </c>
      <c r="N122" s="8">
        <v>206</v>
      </c>
      <c r="O122" s="1">
        <f>VLOOKUP($N122,AF!$B$39:$M$80,O$9)*$G122</f>
        <v>0</v>
      </c>
      <c r="P122" s="1">
        <f>VLOOKUP($N122,AF!$B$39:$M$80,P$9)*$G122</f>
        <v>0</v>
      </c>
      <c r="Q122" s="1">
        <f>VLOOKUP($N122,AF!$B$39:$M$80,Q$9)*$H122</f>
        <v>0</v>
      </c>
      <c r="R122" s="1">
        <f>VLOOKUP($N122,AF!$B$39:$M$80,R$9)*$H122</f>
        <v>0</v>
      </c>
      <c r="S122" s="1">
        <f>VLOOKUP($N122,AF!$B$39:$M$80,S$9)*$I122</f>
        <v>0</v>
      </c>
      <c r="T122" s="1">
        <f>VLOOKUP($N122,AF!$B$39:$M$80,T$9)*$I122</f>
        <v>0</v>
      </c>
      <c r="U122" s="1">
        <f>VLOOKUP($N122,AF!$B$39:$M$80,U$9)*$J122</f>
        <v>0</v>
      </c>
      <c r="V122" s="1">
        <f>VLOOKUP($N122,AF!$B$39:$M$80,V$9)*$J122</f>
        <v>0</v>
      </c>
      <c r="W122" s="1">
        <f t="shared" si="146"/>
        <v>0</v>
      </c>
      <c r="Y122" s="1">
        <f t="shared" si="147"/>
        <v>0</v>
      </c>
      <c r="Z122" s="1">
        <f t="shared" si="147"/>
        <v>0</v>
      </c>
      <c r="AA122" s="1">
        <f t="shared" si="148"/>
        <v>0</v>
      </c>
      <c r="AB122" s="72">
        <f t="shared" si="149"/>
        <v>0</v>
      </c>
      <c r="AD122" s="72">
        <v>302</v>
      </c>
      <c r="AE122" s="1">
        <f>VLOOKUP($AD122,AF!$B$39:$M$80,AE$9)*$O122</f>
        <v>0</v>
      </c>
      <c r="AF122" s="1">
        <f>VLOOKUP($AD122,AF!$B$39:$M$80,AF$9)*$P122</f>
        <v>0</v>
      </c>
      <c r="AG122" s="1">
        <f>VLOOKUP($AD122,AF!$B$39:$M$80,AG$9)*$Q122</f>
        <v>0</v>
      </c>
      <c r="AH122" s="1">
        <f>VLOOKUP($AD122,AF!$B$39:$M$80,AH$9)*$R122</f>
        <v>0</v>
      </c>
      <c r="AI122" s="1">
        <f>VLOOKUP($AD122,AF!$B$39:$M$80,AI$9)*$S122</f>
        <v>0</v>
      </c>
      <c r="AJ122" s="1">
        <f>VLOOKUP($AD122,AF!$B$39:$M$80,AJ$9)*$T122</f>
        <v>0</v>
      </c>
      <c r="AK122" s="1">
        <f>VLOOKUP($AD122,AF!$B$39:$M$80,AK$9)*$U122</f>
        <v>0</v>
      </c>
      <c r="AL122" s="1">
        <f>VLOOKUP($AD122,AF!$B$39:$M$80,AL$9)*$V122</f>
        <v>0</v>
      </c>
      <c r="AM122" s="1">
        <f t="shared" si="150"/>
        <v>0</v>
      </c>
      <c r="AO122" s="1">
        <f t="shared" si="151"/>
        <v>0</v>
      </c>
      <c r="AP122" s="1">
        <f t="shared" si="151"/>
        <v>0</v>
      </c>
      <c r="AQ122" s="1">
        <f t="shared" si="152"/>
        <v>0</v>
      </c>
      <c r="AR122" s="72">
        <f t="shared" si="153"/>
        <v>0</v>
      </c>
    </row>
    <row r="123" spans="1:44" x14ac:dyDescent="0.45">
      <c r="A123" s="118">
        <f t="shared" si="105"/>
        <v>115</v>
      </c>
      <c r="B123" s="57">
        <v>575.4</v>
      </c>
      <c r="C123" s="34" t="s">
        <v>368</v>
      </c>
      <c r="D123" s="34" t="s">
        <v>397</v>
      </c>
      <c r="E123" s="25">
        <v>0</v>
      </c>
      <c r="F123" s="8">
        <v>101</v>
      </c>
      <c r="G123" s="1">
        <f>VLOOKUP($F123,AF!$B$39:$M$80,G$9)*$E123</f>
        <v>0</v>
      </c>
      <c r="H123" s="1">
        <f>VLOOKUP($F123,AF!$B$39:$M$80,H$9)*$E123</f>
        <v>0</v>
      </c>
      <c r="I123" s="1">
        <f>VLOOKUP($F123,AF!$B$39:$M$80,I$9)*$E123</f>
        <v>0</v>
      </c>
      <c r="J123" s="1">
        <f>VLOOKUP($F123,AF!$B$39:$M$80,J$9)*$E123</f>
        <v>0</v>
      </c>
      <c r="K123" s="1">
        <f t="shared" si="144"/>
        <v>0</v>
      </c>
      <c r="L123" s="72">
        <f t="shared" si="145"/>
        <v>0</v>
      </c>
      <c r="N123" s="8">
        <v>206</v>
      </c>
      <c r="O123" s="1">
        <f>VLOOKUP($N123,AF!$B$39:$M$80,O$9)*$G123</f>
        <v>0</v>
      </c>
      <c r="P123" s="1">
        <f>VLOOKUP($N123,AF!$B$39:$M$80,P$9)*$G123</f>
        <v>0</v>
      </c>
      <c r="Q123" s="1">
        <f>VLOOKUP($N123,AF!$B$39:$M$80,Q$9)*$H123</f>
        <v>0</v>
      </c>
      <c r="R123" s="1">
        <f>VLOOKUP($N123,AF!$B$39:$M$80,R$9)*$H123</f>
        <v>0</v>
      </c>
      <c r="S123" s="1">
        <f>VLOOKUP($N123,AF!$B$39:$M$80,S$9)*$I123</f>
        <v>0</v>
      </c>
      <c r="T123" s="1">
        <f>VLOOKUP($N123,AF!$B$39:$M$80,T$9)*$I123</f>
        <v>0</v>
      </c>
      <c r="U123" s="1">
        <f>VLOOKUP($N123,AF!$B$39:$M$80,U$9)*$J123</f>
        <v>0</v>
      </c>
      <c r="V123" s="1">
        <f>VLOOKUP($N123,AF!$B$39:$M$80,V$9)*$J123</f>
        <v>0</v>
      </c>
      <c r="W123" s="1">
        <f t="shared" si="146"/>
        <v>0</v>
      </c>
      <c r="Y123" s="1">
        <f t="shared" si="147"/>
        <v>0</v>
      </c>
      <c r="Z123" s="1">
        <f t="shared" si="147"/>
        <v>0</v>
      </c>
      <c r="AA123" s="1">
        <f t="shared" si="148"/>
        <v>0</v>
      </c>
      <c r="AB123" s="72">
        <f t="shared" si="149"/>
        <v>0</v>
      </c>
      <c r="AD123" s="72">
        <v>302</v>
      </c>
      <c r="AE123" s="1">
        <f>VLOOKUP($AD123,AF!$B$39:$M$80,AE$9)*$O123</f>
        <v>0</v>
      </c>
      <c r="AF123" s="1">
        <f>VLOOKUP($AD123,AF!$B$39:$M$80,AF$9)*$P123</f>
        <v>0</v>
      </c>
      <c r="AG123" s="1">
        <f>VLOOKUP($AD123,AF!$B$39:$M$80,AG$9)*$Q123</f>
        <v>0</v>
      </c>
      <c r="AH123" s="1">
        <f>VLOOKUP($AD123,AF!$B$39:$M$80,AH$9)*$R123</f>
        <v>0</v>
      </c>
      <c r="AI123" s="1">
        <f>VLOOKUP($AD123,AF!$B$39:$M$80,AI$9)*$S123</f>
        <v>0</v>
      </c>
      <c r="AJ123" s="1">
        <f>VLOOKUP($AD123,AF!$B$39:$M$80,AJ$9)*$T123</f>
        <v>0</v>
      </c>
      <c r="AK123" s="1">
        <f>VLOOKUP($AD123,AF!$B$39:$M$80,AK$9)*$U123</f>
        <v>0</v>
      </c>
      <c r="AL123" s="1">
        <f>VLOOKUP($AD123,AF!$B$39:$M$80,AL$9)*$V123</f>
        <v>0</v>
      </c>
      <c r="AM123" s="1">
        <f t="shared" si="150"/>
        <v>0</v>
      </c>
      <c r="AO123" s="1">
        <f t="shared" si="151"/>
        <v>0</v>
      </c>
      <c r="AP123" s="1">
        <f t="shared" si="151"/>
        <v>0</v>
      </c>
      <c r="AQ123" s="1">
        <f t="shared" si="152"/>
        <v>0</v>
      </c>
      <c r="AR123" s="72">
        <f t="shared" si="153"/>
        <v>0</v>
      </c>
    </row>
    <row r="124" spans="1:44" x14ac:dyDescent="0.45">
      <c r="A124" s="118">
        <f t="shared" si="105"/>
        <v>116</v>
      </c>
      <c r="B124" s="57">
        <v>575.5</v>
      </c>
      <c r="C124" s="34" t="s">
        <v>369</v>
      </c>
      <c r="D124" s="34" t="s">
        <v>398</v>
      </c>
      <c r="E124" s="25">
        <v>0</v>
      </c>
      <c r="F124" s="8">
        <v>101</v>
      </c>
      <c r="G124" s="1">
        <f>VLOOKUP($F124,AF!$B$39:$M$80,G$9)*$E124</f>
        <v>0</v>
      </c>
      <c r="H124" s="1">
        <f>VLOOKUP($F124,AF!$B$39:$M$80,H$9)*$E124</f>
        <v>0</v>
      </c>
      <c r="I124" s="1">
        <f>VLOOKUP($F124,AF!$B$39:$M$80,I$9)*$E124</f>
        <v>0</v>
      </c>
      <c r="J124" s="1">
        <f>VLOOKUP($F124,AF!$B$39:$M$80,J$9)*$E124</f>
        <v>0</v>
      </c>
      <c r="K124" s="1">
        <f t="shared" si="144"/>
        <v>0</v>
      </c>
      <c r="L124" s="72">
        <f t="shared" si="145"/>
        <v>0</v>
      </c>
      <c r="N124" s="8">
        <v>206</v>
      </c>
      <c r="O124" s="1">
        <f>VLOOKUP($N124,AF!$B$39:$M$80,O$9)*$G124</f>
        <v>0</v>
      </c>
      <c r="P124" s="1">
        <f>VLOOKUP($N124,AF!$B$39:$M$80,P$9)*$G124</f>
        <v>0</v>
      </c>
      <c r="Q124" s="1">
        <f>VLOOKUP($N124,AF!$B$39:$M$80,Q$9)*$H124</f>
        <v>0</v>
      </c>
      <c r="R124" s="1">
        <f>VLOOKUP($N124,AF!$B$39:$M$80,R$9)*$H124</f>
        <v>0</v>
      </c>
      <c r="S124" s="1">
        <f>VLOOKUP($N124,AF!$B$39:$M$80,S$9)*$I124</f>
        <v>0</v>
      </c>
      <c r="T124" s="1">
        <f>VLOOKUP($N124,AF!$B$39:$M$80,T$9)*$I124</f>
        <v>0</v>
      </c>
      <c r="U124" s="1">
        <f>VLOOKUP($N124,AF!$B$39:$M$80,U$9)*$J124</f>
        <v>0</v>
      </c>
      <c r="V124" s="1">
        <f>VLOOKUP($N124,AF!$B$39:$M$80,V$9)*$J124</f>
        <v>0</v>
      </c>
      <c r="W124" s="1">
        <f t="shared" si="146"/>
        <v>0</v>
      </c>
      <c r="Y124" s="1">
        <f t="shared" si="147"/>
        <v>0</v>
      </c>
      <c r="Z124" s="1">
        <f t="shared" si="147"/>
        <v>0</v>
      </c>
      <c r="AA124" s="1">
        <f t="shared" si="148"/>
        <v>0</v>
      </c>
      <c r="AB124" s="72">
        <f t="shared" si="149"/>
        <v>0</v>
      </c>
      <c r="AD124" s="72">
        <v>302</v>
      </c>
      <c r="AE124" s="1">
        <f>VLOOKUP($AD124,AF!$B$39:$M$80,AE$9)*$O124</f>
        <v>0</v>
      </c>
      <c r="AF124" s="1">
        <f>VLOOKUP($AD124,AF!$B$39:$M$80,AF$9)*$P124</f>
        <v>0</v>
      </c>
      <c r="AG124" s="1">
        <f>VLOOKUP($AD124,AF!$B$39:$M$80,AG$9)*$Q124</f>
        <v>0</v>
      </c>
      <c r="AH124" s="1">
        <f>VLOOKUP($AD124,AF!$B$39:$M$80,AH$9)*$R124</f>
        <v>0</v>
      </c>
      <c r="AI124" s="1">
        <f>VLOOKUP($AD124,AF!$B$39:$M$80,AI$9)*$S124</f>
        <v>0</v>
      </c>
      <c r="AJ124" s="1">
        <f>VLOOKUP($AD124,AF!$B$39:$M$80,AJ$9)*$T124</f>
        <v>0</v>
      </c>
      <c r="AK124" s="1">
        <f>VLOOKUP($AD124,AF!$B$39:$M$80,AK$9)*$U124</f>
        <v>0</v>
      </c>
      <c r="AL124" s="1">
        <f>VLOOKUP($AD124,AF!$B$39:$M$80,AL$9)*$V124</f>
        <v>0</v>
      </c>
      <c r="AM124" s="1">
        <f t="shared" si="150"/>
        <v>0</v>
      </c>
      <c r="AO124" s="1">
        <f t="shared" si="151"/>
        <v>0</v>
      </c>
      <c r="AP124" s="1">
        <f t="shared" si="151"/>
        <v>0</v>
      </c>
      <c r="AQ124" s="1">
        <f t="shared" si="152"/>
        <v>0</v>
      </c>
      <c r="AR124" s="72">
        <f t="shared" si="153"/>
        <v>0</v>
      </c>
    </row>
    <row r="125" spans="1:44" x14ac:dyDescent="0.45">
      <c r="A125" s="118">
        <f t="shared" si="105"/>
        <v>117</v>
      </c>
      <c r="B125" s="57">
        <v>575.6</v>
      </c>
      <c r="C125" s="34" t="s">
        <v>370</v>
      </c>
      <c r="D125" s="34" t="s">
        <v>399</v>
      </c>
      <c r="E125" s="25">
        <v>0</v>
      </c>
      <c r="F125" s="8">
        <v>101</v>
      </c>
      <c r="G125" s="1">
        <f>VLOOKUP($F125,AF!$B$39:$M$80,G$9)*$E125</f>
        <v>0</v>
      </c>
      <c r="H125" s="1">
        <f>VLOOKUP($F125,AF!$B$39:$M$80,H$9)*$E125</f>
        <v>0</v>
      </c>
      <c r="I125" s="1">
        <f>VLOOKUP($F125,AF!$B$39:$M$80,I$9)*$E125</f>
        <v>0</v>
      </c>
      <c r="J125" s="1">
        <f>VLOOKUP($F125,AF!$B$39:$M$80,J$9)*$E125</f>
        <v>0</v>
      </c>
      <c r="K125" s="1">
        <f t="shared" si="144"/>
        <v>0</v>
      </c>
      <c r="L125" s="72">
        <f t="shared" si="145"/>
        <v>0</v>
      </c>
      <c r="N125" s="8">
        <v>206</v>
      </c>
      <c r="O125" s="1">
        <f>VLOOKUP($N125,AF!$B$39:$M$80,O$9)*$G125</f>
        <v>0</v>
      </c>
      <c r="P125" s="1">
        <f>VLOOKUP($N125,AF!$B$39:$M$80,P$9)*$G125</f>
        <v>0</v>
      </c>
      <c r="Q125" s="1">
        <f>VLOOKUP($N125,AF!$B$39:$M$80,Q$9)*$H125</f>
        <v>0</v>
      </c>
      <c r="R125" s="1">
        <f>VLOOKUP($N125,AF!$B$39:$M$80,R$9)*$H125</f>
        <v>0</v>
      </c>
      <c r="S125" s="1">
        <f>VLOOKUP($N125,AF!$B$39:$M$80,S$9)*$I125</f>
        <v>0</v>
      </c>
      <c r="T125" s="1">
        <f>VLOOKUP($N125,AF!$B$39:$M$80,T$9)*$I125</f>
        <v>0</v>
      </c>
      <c r="U125" s="1">
        <f>VLOOKUP($N125,AF!$B$39:$M$80,U$9)*$J125</f>
        <v>0</v>
      </c>
      <c r="V125" s="1">
        <f>VLOOKUP($N125,AF!$B$39:$M$80,V$9)*$J125</f>
        <v>0</v>
      </c>
      <c r="W125" s="1">
        <f t="shared" si="146"/>
        <v>0</v>
      </c>
      <c r="Y125" s="1">
        <f t="shared" si="147"/>
        <v>0</v>
      </c>
      <c r="Z125" s="1">
        <f t="shared" si="147"/>
        <v>0</v>
      </c>
      <c r="AA125" s="1">
        <f t="shared" si="148"/>
        <v>0</v>
      </c>
      <c r="AB125" s="72">
        <f t="shared" si="149"/>
        <v>0</v>
      </c>
      <c r="AD125" s="72">
        <v>302</v>
      </c>
      <c r="AE125" s="1">
        <f>VLOOKUP($AD125,AF!$B$39:$M$80,AE$9)*$O125</f>
        <v>0</v>
      </c>
      <c r="AF125" s="1">
        <f>VLOOKUP($AD125,AF!$B$39:$M$80,AF$9)*$P125</f>
        <v>0</v>
      </c>
      <c r="AG125" s="1">
        <f>VLOOKUP($AD125,AF!$B$39:$M$80,AG$9)*$Q125</f>
        <v>0</v>
      </c>
      <c r="AH125" s="1">
        <f>VLOOKUP($AD125,AF!$B$39:$M$80,AH$9)*$R125</f>
        <v>0</v>
      </c>
      <c r="AI125" s="1">
        <f>VLOOKUP($AD125,AF!$B$39:$M$80,AI$9)*$S125</f>
        <v>0</v>
      </c>
      <c r="AJ125" s="1">
        <f>VLOOKUP($AD125,AF!$B$39:$M$80,AJ$9)*$T125</f>
        <v>0</v>
      </c>
      <c r="AK125" s="1">
        <f>VLOOKUP($AD125,AF!$B$39:$M$80,AK$9)*$U125</f>
        <v>0</v>
      </c>
      <c r="AL125" s="1">
        <f>VLOOKUP($AD125,AF!$B$39:$M$80,AL$9)*$V125</f>
        <v>0</v>
      </c>
      <c r="AM125" s="1">
        <f t="shared" si="150"/>
        <v>0</v>
      </c>
      <c r="AO125" s="1">
        <f t="shared" si="151"/>
        <v>0</v>
      </c>
      <c r="AP125" s="1">
        <f t="shared" si="151"/>
        <v>0</v>
      </c>
      <c r="AQ125" s="1">
        <f t="shared" si="152"/>
        <v>0</v>
      </c>
      <c r="AR125" s="72">
        <f t="shared" si="153"/>
        <v>0</v>
      </c>
    </row>
    <row r="126" spans="1:44" x14ac:dyDescent="0.45">
      <c r="A126" s="118">
        <f t="shared" si="105"/>
        <v>118</v>
      </c>
      <c r="B126" s="57">
        <v>575.70000000000005</v>
      </c>
      <c r="C126" s="34" t="s">
        <v>371</v>
      </c>
      <c r="D126" s="34" t="s">
        <v>400</v>
      </c>
      <c r="E126" s="25">
        <v>3930296</v>
      </c>
      <c r="F126" s="8">
        <v>101</v>
      </c>
      <c r="G126" s="1">
        <f>VLOOKUP($F126,AF!$B$39:$M$80,G$9)*$E126</f>
        <v>0</v>
      </c>
      <c r="H126" s="1">
        <f>VLOOKUP($F126,AF!$B$39:$M$80,H$9)*$E126</f>
        <v>0</v>
      </c>
      <c r="I126" s="1">
        <f>VLOOKUP($F126,AF!$B$39:$M$80,I$9)*$E126</f>
        <v>0</v>
      </c>
      <c r="J126" s="1">
        <f>VLOOKUP($F126,AF!$B$39:$M$80,J$9)*$E126</f>
        <v>0</v>
      </c>
      <c r="K126" s="1">
        <f t="shared" si="144"/>
        <v>3930296</v>
      </c>
      <c r="L126" s="72">
        <f t="shared" si="145"/>
        <v>0</v>
      </c>
      <c r="N126" s="8">
        <v>206</v>
      </c>
      <c r="O126" s="1">
        <f>VLOOKUP($N126,AF!$B$39:$M$80,O$9)*$G126</f>
        <v>0</v>
      </c>
      <c r="P126" s="1">
        <f>VLOOKUP($N126,AF!$B$39:$M$80,P$9)*$G126</f>
        <v>0</v>
      </c>
      <c r="Q126" s="1">
        <f>VLOOKUP($N126,AF!$B$39:$M$80,Q$9)*$H126</f>
        <v>0</v>
      </c>
      <c r="R126" s="1">
        <f>VLOOKUP($N126,AF!$B$39:$M$80,R$9)*$H126</f>
        <v>0</v>
      </c>
      <c r="S126" s="1">
        <f>VLOOKUP($N126,AF!$B$39:$M$80,S$9)*$I126</f>
        <v>0</v>
      </c>
      <c r="T126" s="1">
        <f>VLOOKUP($N126,AF!$B$39:$M$80,T$9)*$I126</f>
        <v>0</v>
      </c>
      <c r="U126" s="1">
        <f>VLOOKUP($N126,AF!$B$39:$M$80,U$9)*$J126</f>
        <v>0</v>
      </c>
      <c r="V126" s="1">
        <f>VLOOKUP($N126,AF!$B$39:$M$80,V$9)*$J126</f>
        <v>0</v>
      </c>
      <c r="W126" s="1">
        <f t="shared" si="146"/>
        <v>3930296</v>
      </c>
      <c r="Y126" s="1">
        <f t="shared" si="147"/>
        <v>0</v>
      </c>
      <c r="Z126" s="1">
        <f t="shared" si="147"/>
        <v>0</v>
      </c>
      <c r="AA126" s="1">
        <f t="shared" si="148"/>
        <v>3930296</v>
      </c>
      <c r="AB126" s="72">
        <f t="shared" si="149"/>
        <v>0</v>
      </c>
      <c r="AD126" s="72">
        <v>302</v>
      </c>
      <c r="AE126" s="1">
        <f>VLOOKUP($AD126,AF!$B$39:$M$80,AE$9)*$O126</f>
        <v>0</v>
      </c>
      <c r="AF126" s="1">
        <f>VLOOKUP($AD126,AF!$B$39:$M$80,AF$9)*$P126</f>
        <v>0</v>
      </c>
      <c r="AG126" s="1">
        <f>VLOOKUP($AD126,AF!$B$39:$M$80,AG$9)*$Q126</f>
        <v>0</v>
      </c>
      <c r="AH126" s="1">
        <f>VLOOKUP($AD126,AF!$B$39:$M$80,AH$9)*$R126</f>
        <v>0</v>
      </c>
      <c r="AI126" s="1">
        <f>VLOOKUP($AD126,AF!$B$39:$M$80,AI$9)*$S126</f>
        <v>0</v>
      </c>
      <c r="AJ126" s="1">
        <f>VLOOKUP($AD126,AF!$B$39:$M$80,AJ$9)*$T126</f>
        <v>0</v>
      </c>
      <c r="AK126" s="1">
        <f>VLOOKUP($AD126,AF!$B$39:$M$80,AK$9)*$U126</f>
        <v>0</v>
      </c>
      <c r="AL126" s="1">
        <f>VLOOKUP($AD126,AF!$B$39:$M$80,AL$9)*$V126</f>
        <v>0</v>
      </c>
      <c r="AM126" s="1">
        <f t="shared" si="150"/>
        <v>3930296</v>
      </c>
      <c r="AO126" s="1">
        <f t="shared" si="151"/>
        <v>0</v>
      </c>
      <c r="AP126" s="1">
        <f t="shared" si="151"/>
        <v>0</v>
      </c>
      <c r="AQ126" s="1">
        <f t="shared" si="152"/>
        <v>3930296</v>
      </c>
      <c r="AR126" s="72">
        <f t="shared" si="153"/>
        <v>0</v>
      </c>
    </row>
    <row r="127" spans="1:44" x14ac:dyDescent="0.45">
      <c r="A127" s="118">
        <f t="shared" si="105"/>
        <v>119</v>
      </c>
      <c r="B127" s="57">
        <v>575.79999999999995</v>
      </c>
      <c r="C127" s="34" t="s">
        <v>372</v>
      </c>
      <c r="D127" s="34" t="s">
        <v>401</v>
      </c>
      <c r="E127" s="25">
        <v>0</v>
      </c>
      <c r="F127" s="8">
        <v>101</v>
      </c>
      <c r="G127" s="1">
        <f>VLOOKUP($F127,AF!$B$39:$M$80,G$9)*$E127</f>
        <v>0</v>
      </c>
      <c r="H127" s="1">
        <f>VLOOKUP($F127,AF!$B$39:$M$80,H$9)*$E127</f>
        <v>0</v>
      </c>
      <c r="I127" s="1">
        <f>VLOOKUP($F127,AF!$B$39:$M$80,I$9)*$E127</f>
        <v>0</v>
      </c>
      <c r="J127" s="1">
        <f>VLOOKUP($F127,AF!$B$39:$M$80,J$9)*$E127</f>
        <v>0</v>
      </c>
      <c r="K127" s="1">
        <f t="shared" si="144"/>
        <v>0</v>
      </c>
      <c r="L127" s="72">
        <f t="shared" si="145"/>
        <v>0</v>
      </c>
      <c r="N127" s="8">
        <v>206</v>
      </c>
      <c r="O127" s="1">
        <f>VLOOKUP($N127,AF!$B$39:$M$80,O$9)*$G127</f>
        <v>0</v>
      </c>
      <c r="P127" s="1">
        <f>VLOOKUP($N127,AF!$B$39:$M$80,P$9)*$G127</f>
        <v>0</v>
      </c>
      <c r="Q127" s="1">
        <f>VLOOKUP($N127,AF!$B$39:$M$80,Q$9)*$H127</f>
        <v>0</v>
      </c>
      <c r="R127" s="1">
        <f>VLOOKUP($N127,AF!$B$39:$M$80,R$9)*$H127</f>
        <v>0</v>
      </c>
      <c r="S127" s="1">
        <f>VLOOKUP($N127,AF!$B$39:$M$80,S$9)*$I127</f>
        <v>0</v>
      </c>
      <c r="T127" s="1">
        <f>VLOOKUP($N127,AF!$B$39:$M$80,T$9)*$I127</f>
        <v>0</v>
      </c>
      <c r="U127" s="1">
        <f>VLOOKUP($N127,AF!$B$39:$M$80,U$9)*$J127</f>
        <v>0</v>
      </c>
      <c r="V127" s="1">
        <f>VLOOKUP($N127,AF!$B$39:$M$80,V$9)*$J127</f>
        <v>0</v>
      </c>
      <c r="W127" s="1">
        <f t="shared" si="146"/>
        <v>0</v>
      </c>
      <c r="Y127" s="1">
        <f t="shared" si="147"/>
        <v>0</v>
      </c>
      <c r="Z127" s="1">
        <f t="shared" si="147"/>
        <v>0</v>
      </c>
      <c r="AA127" s="1">
        <f t="shared" si="148"/>
        <v>0</v>
      </c>
      <c r="AB127" s="72">
        <f t="shared" si="149"/>
        <v>0</v>
      </c>
      <c r="AD127" s="72">
        <v>302</v>
      </c>
      <c r="AE127" s="1">
        <f>VLOOKUP($AD127,AF!$B$39:$M$80,AE$9)*$O127</f>
        <v>0</v>
      </c>
      <c r="AF127" s="1">
        <f>VLOOKUP($AD127,AF!$B$39:$M$80,AF$9)*$P127</f>
        <v>0</v>
      </c>
      <c r="AG127" s="1">
        <f>VLOOKUP($AD127,AF!$B$39:$M$80,AG$9)*$Q127</f>
        <v>0</v>
      </c>
      <c r="AH127" s="1">
        <f>VLOOKUP($AD127,AF!$B$39:$M$80,AH$9)*$R127</f>
        <v>0</v>
      </c>
      <c r="AI127" s="1">
        <f>VLOOKUP($AD127,AF!$B$39:$M$80,AI$9)*$S127</f>
        <v>0</v>
      </c>
      <c r="AJ127" s="1">
        <f>VLOOKUP($AD127,AF!$B$39:$M$80,AJ$9)*$T127</f>
        <v>0</v>
      </c>
      <c r="AK127" s="1">
        <f>VLOOKUP($AD127,AF!$B$39:$M$80,AK$9)*$U127</f>
        <v>0</v>
      </c>
      <c r="AL127" s="1">
        <f>VLOOKUP($AD127,AF!$B$39:$M$80,AL$9)*$V127</f>
        <v>0</v>
      </c>
      <c r="AM127" s="1">
        <f t="shared" si="150"/>
        <v>0</v>
      </c>
      <c r="AO127" s="1">
        <f t="shared" si="151"/>
        <v>0</v>
      </c>
      <c r="AP127" s="1">
        <f t="shared" si="151"/>
        <v>0</v>
      </c>
      <c r="AQ127" s="1">
        <f t="shared" si="152"/>
        <v>0</v>
      </c>
      <c r="AR127" s="72">
        <f t="shared" si="153"/>
        <v>0</v>
      </c>
    </row>
    <row r="128" spans="1:44" x14ac:dyDescent="0.45">
      <c r="A128" s="118">
        <f t="shared" si="105"/>
        <v>120</v>
      </c>
      <c r="B128" s="34"/>
      <c r="C128" s="34" t="s">
        <v>0</v>
      </c>
      <c r="D128" s="34"/>
      <c r="E128" s="33">
        <f>SUM(E120:E127)</f>
        <v>4494204</v>
      </c>
      <c r="F128" s="74"/>
      <c r="G128" s="33">
        <f t="shared" ref="G128:K128" si="154">SUM(G120:G127)</f>
        <v>0</v>
      </c>
      <c r="H128" s="33">
        <f t="shared" si="154"/>
        <v>0</v>
      </c>
      <c r="I128" s="33">
        <f t="shared" si="154"/>
        <v>0</v>
      </c>
      <c r="J128" s="33">
        <f t="shared" si="154"/>
        <v>0</v>
      </c>
      <c r="K128" s="33">
        <f t="shared" si="154"/>
        <v>4494204</v>
      </c>
      <c r="L128" s="72">
        <f t="shared" si="145"/>
        <v>0</v>
      </c>
      <c r="N128" s="74"/>
      <c r="O128" s="33">
        <f t="shared" ref="O128:W128" si="155">SUM(O120:O127)</f>
        <v>0</v>
      </c>
      <c r="P128" s="33">
        <f t="shared" si="155"/>
        <v>0</v>
      </c>
      <c r="Q128" s="33">
        <f t="shared" si="155"/>
        <v>0</v>
      </c>
      <c r="R128" s="33">
        <f t="shared" si="155"/>
        <v>0</v>
      </c>
      <c r="S128" s="33">
        <f t="shared" si="155"/>
        <v>0</v>
      </c>
      <c r="T128" s="33">
        <f t="shared" si="155"/>
        <v>0</v>
      </c>
      <c r="U128" s="33">
        <f t="shared" si="155"/>
        <v>0</v>
      </c>
      <c r="V128" s="33">
        <f t="shared" si="155"/>
        <v>0</v>
      </c>
      <c r="W128" s="33">
        <f t="shared" si="155"/>
        <v>4494204</v>
      </c>
      <c r="Y128" s="33">
        <f t="shared" ref="Y128:AA128" si="156">SUM(Y120:Y127)</f>
        <v>0</v>
      </c>
      <c r="Z128" s="33">
        <f t="shared" si="156"/>
        <v>0</v>
      </c>
      <c r="AA128" s="33">
        <f t="shared" si="156"/>
        <v>4494204</v>
      </c>
      <c r="AB128" s="72">
        <f t="shared" si="149"/>
        <v>0</v>
      </c>
      <c r="AD128" s="74"/>
      <c r="AE128" s="33">
        <f t="shared" ref="AE128:AM128" si="157">SUM(AE120:AE127)</f>
        <v>0</v>
      </c>
      <c r="AF128" s="33">
        <f t="shared" si="157"/>
        <v>0</v>
      </c>
      <c r="AG128" s="33">
        <f t="shared" si="157"/>
        <v>0</v>
      </c>
      <c r="AH128" s="33">
        <f t="shared" si="157"/>
        <v>0</v>
      </c>
      <c r="AI128" s="33">
        <f t="shared" si="157"/>
        <v>0</v>
      </c>
      <c r="AJ128" s="33">
        <f t="shared" si="157"/>
        <v>0</v>
      </c>
      <c r="AK128" s="33">
        <f t="shared" si="157"/>
        <v>0</v>
      </c>
      <c r="AL128" s="33">
        <f t="shared" si="157"/>
        <v>0</v>
      </c>
      <c r="AM128" s="33">
        <f t="shared" si="157"/>
        <v>4494204</v>
      </c>
      <c r="AO128" s="33">
        <f t="shared" ref="AO128:AQ128" si="158">SUM(AO120:AO127)</f>
        <v>0</v>
      </c>
      <c r="AP128" s="33">
        <f t="shared" si="158"/>
        <v>0</v>
      </c>
      <c r="AQ128" s="33">
        <f t="shared" si="158"/>
        <v>4494204</v>
      </c>
      <c r="AR128" s="72">
        <f t="shared" si="153"/>
        <v>0</v>
      </c>
    </row>
    <row r="129" spans="1:44" x14ac:dyDescent="0.45">
      <c r="A129" s="118">
        <f t="shared" si="105"/>
        <v>121</v>
      </c>
      <c r="B129" s="34"/>
      <c r="C129" s="34"/>
      <c r="D129" s="34"/>
      <c r="E129" s="34"/>
      <c r="F129" s="74"/>
      <c r="G129" s="88"/>
      <c r="H129" s="88"/>
      <c r="I129" s="88"/>
      <c r="J129" s="88"/>
      <c r="K129" s="88"/>
      <c r="L129" s="74"/>
      <c r="N129" s="74"/>
      <c r="O129" s="88"/>
      <c r="P129" s="88"/>
      <c r="Q129" s="88"/>
      <c r="R129" s="88"/>
      <c r="S129" s="88"/>
      <c r="T129" s="88"/>
      <c r="U129" s="88"/>
      <c r="V129" s="88"/>
      <c r="W129" s="88"/>
      <c r="Y129" s="88"/>
      <c r="Z129" s="88"/>
      <c r="AA129" s="88"/>
      <c r="AB129" s="74"/>
      <c r="AD129" s="74"/>
      <c r="AE129" s="88"/>
      <c r="AF129" s="88"/>
      <c r="AG129" s="88"/>
      <c r="AH129" s="88"/>
      <c r="AI129" s="88"/>
      <c r="AJ129" s="88"/>
      <c r="AK129" s="88"/>
      <c r="AL129" s="88"/>
      <c r="AM129" s="88"/>
      <c r="AO129" s="88"/>
      <c r="AP129" s="88"/>
      <c r="AQ129" s="88"/>
      <c r="AR129" s="74"/>
    </row>
    <row r="130" spans="1:44" x14ac:dyDescent="0.45">
      <c r="A130" s="118">
        <f t="shared" si="105"/>
        <v>122</v>
      </c>
      <c r="B130" s="35" t="s">
        <v>408</v>
      </c>
      <c r="C130" s="35"/>
      <c r="D130" s="34"/>
      <c r="E130" s="34"/>
      <c r="F130" s="74"/>
      <c r="G130" s="88"/>
      <c r="H130" s="88"/>
      <c r="I130" s="88"/>
      <c r="J130" s="88"/>
      <c r="K130" s="88"/>
      <c r="L130" s="74"/>
      <c r="N130" s="74"/>
      <c r="O130" s="88"/>
      <c r="P130" s="88"/>
      <c r="Q130" s="88"/>
      <c r="R130" s="88"/>
      <c r="S130" s="88"/>
      <c r="T130" s="88"/>
      <c r="U130" s="88"/>
      <c r="V130" s="88"/>
      <c r="W130" s="88"/>
      <c r="Y130" s="88"/>
      <c r="Z130" s="88"/>
      <c r="AA130" s="88"/>
      <c r="AB130" s="74"/>
      <c r="AD130" s="74"/>
      <c r="AE130" s="88"/>
      <c r="AF130" s="88"/>
      <c r="AG130" s="88"/>
      <c r="AH130" s="88"/>
      <c r="AI130" s="88"/>
      <c r="AJ130" s="88"/>
      <c r="AK130" s="88"/>
      <c r="AL130" s="88"/>
      <c r="AM130" s="88"/>
      <c r="AO130" s="88"/>
      <c r="AP130" s="88"/>
      <c r="AQ130" s="88"/>
      <c r="AR130" s="74"/>
    </row>
    <row r="131" spans="1:44" x14ac:dyDescent="0.45">
      <c r="A131" s="118">
        <f t="shared" si="105"/>
        <v>123</v>
      </c>
      <c r="B131" s="57">
        <v>576.1</v>
      </c>
      <c r="C131" s="34" t="s">
        <v>365</v>
      </c>
      <c r="D131" s="34" t="s">
        <v>394</v>
      </c>
      <c r="E131" s="25">
        <v>0</v>
      </c>
      <c r="F131" s="8">
        <v>101</v>
      </c>
      <c r="G131" s="1">
        <f>VLOOKUP($F131,AF!$B$39:$M$80,G$9)*$E131</f>
        <v>0</v>
      </c>
      <c r="H131" s="1">
        <f>VLOOKUP($F131,AF!$B$39:$M$80,H$9)*$E131</f>
        <v>0</v>
      </c>
      <c r="I131" s="1">
        <f>VLOOKUP($F131,AF!$B$39:$M$80,I$9)*$E131</f>
        <v>0</v>
      </c>
      <c r="J131" s="1">
        <f>VLOOKUP($F131,AF!$B$39:$M$80,J$9)*$E131</f>
        <v>0</v>
      </c>
      <c r="K131" s="1">
        <f t="shared" ref="K131:K135" si="159">E131-SUM(G131:J131)</f>
        <v>0</v>
      </c>
      <c r="L131" s="72">
        <f t="shared" ref="L131:L136" si="160">$E131-SUM(G131:K131)</f>
        <v>0</v>
      </c>
      <c r="N131" s="8">
        <v>206</v>
      </c>
      <c r="O131" s="1">
        <f>VLOOKUP($N131,AF!$B$39:$M$80,O$9)*$G131</f>
        <v>0</v>
      </c>
      <c r="P131" s="1">
        <f>VLOOKUP($N131,AF!$B$39:$M$80,P$9)*$G131</f>
        <v>0</v>
      </c>
      <c r="Q131" s="1">
        <f>VLOOKUP($N131,AF!$B$39:$M$80,Q$9)*$H131</f>
        <v>0</v>
      </c>
      <c r="R131" s="1">
        <f>VLOOKUP($N131,AF!$B$39:$M$80,R$9)*$H131</f>
        <v>0</v>
      </c>
      <c r="S131" s="1">
        <f>VLOOKUP($N131,AF!$B$39:$M$80,S$9)*$I131</f>
        <v>0</v>
      </c>
      <c r="T131" s="1">
        <f>VLOOKUP($N131,AF!$B$39:$M$80,T$9)*$I131</f>
        <v>0</v>
      </c>
      <c r="U131" s="1">
        <f>VLOOKUP($N131,AF!$B$39:$M$80,U$9)*$J131</f>
        <v>0</v>
      </c>
      <c r="V131" s="1">
        <f>VLOOKUP($N131,AF!$B$39:$M$80,V$9)*$J131</f>
        <v>0</v>
      </c>
      <c r="W131" s="1">
        <f t="shared" ref="W131:W135" si="161">E131-SUM(O131:V131)</f>
        <v>0</v>
      </c>
      <c r="Y131" s="1">
        <f t="shared" ref="Y131:Z135" si="162">+O131+Q131+S131+U131</f>
        <v>0</v>
      </c>
      <c r="Z131" s="1">
        <f t="shared" si="162"/>
        <v>0</v>
      </c>
      <c r="AA131" s="1">
        <f t="shared" ref="AA131:AA135" si="163">+Z131+Y131+W131</f>
        <v>0</v>
      </c>
      <c r="AB131" s="72">
        <f t="shared" ref="AB131:AB136" si="164">$E131-AA131</f>
        <v>0</v>
      </c>
      <c r="AD131" s="72">
        <v>302</v>
      </c>
      <c r="AE131" s="1">
        <f>VLOOKUP($AD131,AF!$B$39:$M$80,AE$9)*$O131</f>
        <v>0</v>
      </c>
      <c r="AF131" s="1">
        <f>VLOOKUP($AD131,AF!$B$39:$M$80,AF$9)*$P131</f>
        <v>0</v>
      </c>
      <c r="AG131" s="1">
        <f>VLOOKUP($AD131,AF!$B$39:$M$80,AG$9)*$Q131</f>
        <v>0</v>
      </c>
      <c r="AH131" s="1">
        <f>VLOOKUP($AD131,AF!$B$39:$M$80,AH$9)*$R131</f>
        <v>0</v>
      </c>
      <c r="AI131" s="1">
        <f>VLOOKUP($AD131,AF!$B$39:$M$80,AI$9)*$S131</f>
        <v>0</v>
      </c>
      <c r="AJ131" s="1">
        <f>VLOOKUP($AD131,AF!$B$39:$M$80,AJ$9)*$T131</f>
        <v>0</v>
      </c>
      <c r="AK131" s="1">
        <f>VLOOKUP($AD131,AF!$B$39:$M$80,AK$9)*$U131</f>
        <v>0</v>
      </c>
      <c r="AL131" s="1">
        <f>VLOOKUP($AD131,AF!$B$39:$M$80,AL$9)*$V131</f>
        <v>0</v>
      </c>
      <c r="AM131" s="1">
        <f t="shared" ref="AM131:AM135" si="165">E131-SUM(AE131:AL131)</f>
        <v>0</v>
      </c>
      <c r="AO131" s="1">
        <f t="shared" ref="AO131:AP135" si="166">+AE131+AG131+AI131+AK131</f>
        <v>0</v>
      </c>
      <c r="AP131" s="1">
        <f t="shared" si="166"/>
        <v>0</v>
      </c>
      <c r="AQ131" s="1">
        <f t="shared" ref="AQ131:AQ135" si="167">+AP131+AO131+AM131</f>
        <v>0</v>
      </c>
      <c r="AR131" s="72">
        <f t="shared" ref="AR131:AR136" si="168">$E131-AQ131</f>
        <v>0</v>
      </c>
    </row>
    <row r="132" spans="1:44" x14ac:dyDescent="0.45">
      <c r="A132" s="118">
        <f t="shared" si="105"/>
        <v>124</v>
      </c>
      <c r="B132" s="57">
        <v>576.20000000000005</v>
      </c>
      <c r="C132" s="34" t="s">
        <v>366</v>
      </c>
      <c r="D132" s="34" t="s">
        <v>395</v>
      </c>
      <c r="E132" s="25">
        <v>0</v>
      </c>
      <c r="F132" s="8">
        <v>101</v>
      </c>
      <c r="G132" s="1">
        <f>VLOOKUP($F132,AF!$B$39:$M$80,G$9)*$E132</f>
        <v>0</v>
      </c>
      <c r="H132" s="1">
        <f>VLOOKUP($F132,AF!$B$39:$M$80,H$9)*$E132</f>
        <v>0</v>
      </c>
      <c r="I132" s="1">
        <f>VLOOKUP($F132,AF!$B$39:$M$80,I$9)*$E132</f>
        <v>0</v>
      </c>
      <c r="J132" s="1">
        <f>VLOOKUP($F132,AF!$B$39:$M$80,J$9)*$E132</f>
        <v>0</v>
      </c>
      <c r="K132" s="1">
        <f t="shared" si="159"/>
        <v>0</v>
      </c>
      <c r="L132" s="72">
        <f t="shared" si="160"/>
        <v>0</v>
      </c>
      <c r="N132" s="8">
        <v>206</v>
      </c>
      <c r="O132" s="1">
        <f>VLOOKUP($N132,AF!$B$39:$M$80,O$9)*$G132</f>
        <v>0</v>
      </c>
      <c r="P132" s="1">
        <f>VLOOKUP($N132,AF!$B$39:$M$80,P$9)*$G132</f>
        <v>0</v>
      </c>
      <c r="Q132" s="1">
        <f>VLOOKUP($N132,AF!$B$39:$M$80,Q$9)*$H132</f>
        <v>0</v>
      </c>
      <c r="R132" s="1">
        <f>VLOOKUP($N132,AF!$B$39:$M$80,R$9)*$H132</f>
        <v>0</v>
      </c>
      <c r="S132" s="1">
        <f>VLOOKUP($N132,AF!$B$39:$M$80,S$9)*$I132</f>
        <v>0</v>
      </c>
      <c r="T132" s="1">
        <f>VLOOKUP($N132,AF!$B$39:$M$80,T$9)*$I132</f>
        <v>0</v>
      </c>
      <c r="U132" s="1">
        <f>VLOOKUP($N132,AF!$B$39:$M$80,U$9)*$J132</f>
        <v>0</v>
      </c>
      <c r="V132" s="1">
        <f>VLOOKUP($N132,AF!$B$39:$M$80,V$9)*$J132</f>
        <v>0</v>
      </c>
      <c r="W132" s="1">
        <f t="shared" si="161"/>
        <v>0</v>
      </c>
      <c r="Y132" s="1">
        <f t="shared" si="162"/>
        <v>0</v>
      </c>
      <c r="Z132" s="1">
        <f t="shared" si="162"/>
        <v>0</v>
      </c>
      <c r="AA132" s="1">
        <f t="shared" si="163"/>
        <v>0</v>
      </c>
      <c r="AB132" s="72">
        <f t="shared" si="164"/>
        <v>0</v>
      </c>
      <c r="AD132" s="72">
        <v>302</v>
      </c>
      <c r="AE132" s="1">
        <f>VLOOKUP($AD132,AF!$B$39:$M$80,AE$9)*$O132</f>
        <v>0</v>
      </c>
      <c r="AF132" s="1">
        <f>VLOOKUP($AD132,AF!$B$39:$M$80,AF$9)*$P132</f>
        <v>0</v>
      </c>
      <c r="AG132" s="1">
        <f>VLOOKUP($AD132,AF!$B$39:$M$80,AG$9)*$Q132</f>
        <v>0</v>
      </c>
      <c r="AH132" s="1">
        <f>VLOOKUP($AD132,AF!$B$39:$M$80,AH$9)*$R132</f>
        <v>0</v>
      </c>
      <c r="AI132" s="1">
        <f>VLOOKUP($AD132,AF!$B$39:$M$80,AI$9)*$S132</f>
        <v>0</v>
      </c>
      <c r="AJ132" s="1">
        <f>VLOOKUP($AD132,AF!$B$39:$M$80,AJ$9)*$T132</f>
        <v>0</v>
      </c>
      <c r="AK132" s="1">
        <f>VLOOKUP($AD132,AF!$B$39:$M$80,AK$9)*$U132</f>
        <v>0</v>
      </c>
      <c r="AL132" s="1">
        <f>VLOOKUP($AD132,AF!$B$39:$M$80,AL$9)*$V132</f>
        <v>0</v>
      </c>
      <c r="AM132" s="1">
        <f t="shared" si="165"/>
        <v>0</v>
      </c>
      <c r="AO132" s="1">
        <f t="shared" si="166"/>
        <v>0</v>
      </c>
      <c r="AP132" s="1">
        <f t="shared" si="166"/>
        <v>0</v>
      </c>
      <c r="AQ132" s="1">
        <f t="shared" si="167"/>
        <v>0</v>
      </c>
      <c r="AR132" s="72">
        <f t="shared" si="168"/>
        <v>0</v>
      </c>
    </row>
    <row r="133" spans="1:44" x14ac:dyDescent="0.45">
      <c r="A133" s="118">
        <f t="shared" si="105"/>
        <v>125</v>
      </c>
      <c r="B133" s="57">
        <v>576.29999999999995</v>
      </c>
      <c r="C133" s="34" t="s">
        <v>367</v>
      </c>
      <c r="D133" s="34" t="s">
        <v>396</v>
      </c>
      <c r="E133" s="25">
        <v>0</v>
      </c>
      <c r="F133" s="8">
        <v>101</v>
      </c>
      <c r="G133" s="1">
        <f>VLOOKUP($F133,AF!$B$39:$M$80,G$9)*$E133</f>
        <v>0</v>
      </c>
      <c r="H133" s="1">
        <f>VLOOKUP($F133,AF!$B$39:$M$80,H$9)*$E133</f>
        <v>0</v>
      </c>
      <c r="I133" s="1">
        <f>VLOOKUP($F133,AF!$B$39:$M$80,I$9)*$E133</f>
        <v>0</v>
      </c>
      <c r="J133" s="1">
        <f>VLOOKUP($F133,AF!$B$39:$M$80,J$9)*$E133</f>
        <v>0</v>
      </c>
      <c r="K133" s="1">
        <f t="shared" si="159"/>
        <v>0</v>
      </c>
      <c r="L133" s="72">
        <f t="shared" si="160"/>
        <v>0</v>
      </c>
      <c r="N133" s="8">
        <v>206</v>
      </c>
      <c r="O133" s="1">
        <f>VLOOKUP($N133,AF!$B$39:$M$80,O$9)*$G133</f>
        <v>0</v>
      </c>
      <c r="P133" s="1">
        <f>VLOOKUP($N133,AF!$B$39:$M$80,P$9)*$G133</f>
        <v>0</v>
      </c>
      <c r="Q133" s="1">
        <f>VLOOKUP($N133,AF!$B$39:$M$80,Q$9)*$H133</f>
        <v>0</v>
      </c>
      <c r="R133" s="1">
        <f>VLOOKUP($N133,AF!$B$39:$M$80,R$9)*$H133</f>
        <v>0</v>
      </c>
      <c r="S133" s="1">
        <f>VLOOKUP($N133,AF!$B$39:$M$80,S$9)*$I133</f>
        <v>0</v>
      </c>
      <c r="T133" s="1">
        <f>VLOOKUP($N133,AF!$B$39:$M$80,T$9)*$I133</f>
        <v>0</v>
      </c>
      <c r="U133" s="1">
        <f>VLOOKUP($N133,AF!$B$39:$M$80,U$9)*$J133</f>
        <v>0</v>
      </c>
      <c r="V133" s="1">
        <f>VLOOKUP($N133,AF!$B$39:$M$80,V$9)*$J133</f>
        <v>0</v>
      </c>
      <c r="W133" s="1">
        <f t="shared" si="161"/>
        <v>0</v>
      </c>
      <c r="Y133" s="1">
        <f t="shared" si="162"/>
        <v>0</v>
      </c>
      <c r="Z133" s="1">
        <f t="shared" si="162"/>
        <v>0</v>
      </c>
      <c r="AA133" s="1">
        <f t="shared" si="163"/>
        <v>0</v>
      </c>
      <c r="AB133" s="72">
        <f t="shared" si="164"/>
        <v>0</v>
      </c>
      <c r="AD133" s="72">
        <v>302</v>
      </c>
      <c r="AE133" s="1">
        <f>VLOOKUP($AD133,AF!$B$39:$M$80,AE$9)*$O133</f>
        <v>0</v>
      </c>
      <c r="AF133" s="1">
        <f>VLOOKUP($AD133,AF!$B$39:$M$80,AF$9)*$P133</f>
        <v>0</v>
      </c>
      <c r="AG133" s="1">
        <f>VLOOKUP($AD133,AF!$B$39:$M$80,AG$9)*$Q133</f>
        <v>0</v>
      </c>
      <c r="AH133" s="1">
        <f>VLOOKUP($AD133,AF!$B$39:$M$80,AH$9)*$R133</f>
        <v>0</v>
      </c>
      <c r="AI133" s="1">
        <f>VLOOKUP($AD133,AF!$B$39:$M$80,AI$9)*$S133</f>
        <v>0</v>
      </c>
      <c r="AJ133" s="1">
        <f>VLOOKUP($AD133,AF!$B$39:$M$80,AJ$9)*$T133</f>
        <v>0</v>
      </c>
      <c r="AK133" s="1">
        <f>VLOOKUP($AD133,AF!$B$39:$M$80,AK$9)*$U133</f>
        <v>0</v>
      </c>
      <c r="AL133" s="1">
        <f>VLOOKUP($AD133,AF!$B$39:$M$80,AL$9)*$V133</f>
        <v>0</v>
      </c>
      <c r="AM133" s="1">
        <f t="shared" si="165"/>
        <v>0</v>
      </c>
      <c r="AO133" s="1">
        <f t="shared" si="166"/>
        <v>0</v>
      </c>
      <c r="AP133" s="1">
        <f t="shared" si="166"/>
        <v>0</v>
      </c>
      <c r="AQ133" s="1">
        <f t="shared" si="167"/>
        <v>0</v>
      </c>
      <c r="AR133" s="72">
        <f t="shared" si="168"/>
        <v>0</v>
      </c>
    </row>
    <row r="134" spans="1:44" x14ac:dyDescent="0.45">
      <c r="A134" s="118">
        <f t="shared" si="105"/>
        <v>126</v>
      </c>
      <c r="B134" s="57">
        <v>576.4</v>
      </c>
      <c r="C134" s="34" t="s">
        <v>368</v>
      </c>
      <c r="D134" s="34" t="s">
        <v>397</v>
      </c>
      <c r="E134" s="25">
        <v>0</v>
      </c>
      <c r="F134" s="8">
        <v>101</v>
      </c>
      <c r="G134" s="1">
        <f>VLOOKUP($F134,AF!$B$39:$M$80,G$9)*$E134</f>
        <v>0</v>
      </c>
      <c r="H134" s="1">
        <f>VLOOKUP($F134,AF!$B$39:$M$80,H$9)*$E134</f>
        <v>0</v>
      </c>
      <c r="I134" s="1">
        <f>VLOOKUP($F134,AF!$B$39:$M$80,I$9)*$E134</f>
        <v>0</v>
      </c>
      <c r="J134" s="1">
        <f>VLOOKUP($F134,AF!$B$39:$M$80,J$9)*$E134</f>
        <v>0</v>
      </c>
      <c r="K134" s="1">
        <f t="shared" si="159"/>
        <v>0</v>
      </c>
      <c r="L134" s="72">
        <f t="shared" si="160"/>
        <v>0</v>
      </c>
      <c r="N134" s="8">
        <v>206</v>
      </c>
      <c r="O134" s="1">
        <f>VLOOKUP($N134,AF!$B$39:$M$80,O$9)*$G134</f>
        <v>0</v>
      </c>
      <c r="P134" s="1">
        <f>VLOOKUP($N134,AF!$B$39:$M$80,P$9)*$G134</f>
        <v>0</v>
      </c>
      <c r="Q134" s="1">
        <f>VLOOKUP($N134,AF!$B$39:$M$80,Q$9)*$H134</f>
        <v>0</v>
      </c>
      <c r="R134" s="1">
        <f>VLOOKUP($N134,AF!$B$39:$M$80,R$9)*$H134</f>
        <v>0</v>
      </c>
      <c r="S134" s="1">
        <f>VLOOKUP($N134,AF!$B$39:$M$80,S$9)*$I134</f>
        <v>0</v>
      </c>
      <c r="T134" s="1">
        <f>VLOOKUP($N134,AF!$B$39:$M$80,T$9)*$I134</f>
        <v>0</v>
      </c>
      <c r="U134" s="1">
        <f>VLOOKUP($N134,AF!$B$39:$M$80,U$9)*$J134</f>
        <v>0</v>
      </c>
      <c r="V134" s="1">
        <f>VLOOKUP($N134,AF!$B$39:$M$80,V$9)*$J134</f>
        <v>0</v>
      </c>
      <c r="W134" s="1">
        <f t="shared" si="161"/>
        <v>0</v>
      </c>
      <c r="Y134" s="1">
        <f t="shared" si="162"/>
        <v>0</v>
      </c>
      <c r="Z134" s="1">
        <f t="shared" si="162"/>
        <v>0</v>
      </c>
      <c r="AA134" s="1">
        <f t="shared" si="163"/>
        <v>0</v>
      </c>
      <c r="AB134" s="72">
        <f t="shared" si="164"/>
        <v>0</v>
      </c>
      <c r="AD134" s="72">
        <v>302</v>
      </c>
      <c r="AE134" s="1">
        <f>VLOOKUP($AD134,AF!$B$39:$M$80,AE$9)*$O134</f>
        <v>0</v>
      </c>
      <c r="AF134" s="1">
        <f>VLOOKUP($AD134,AF!$B$39:$M$80,AF$9)*$P134</f>
        <v>0</v>
      </c>
      <c r="AG134" s="1">
        <f>VLOOKUP($AD134,AF!$B$39:$M$80,AG$9)*$Q134</f>
        <v>0</v>
      </c>
      <c r="AH134" s="1">
        <f>VLOOKUP($AD134,AF!$B$39:$M$80,AH$9)*$R134</f>
        <v>0</v>
      </c>
      <c r="AI134" s="1">
        <f>VLOOKUP($AD134,AF!$B$39:$M$80,AI$9)*$S134</f>
        <v>0</v>
      </c>
      <c r="AJ134" s="1">
        <f>VLOOKUP($AD134,AF!$B$39:$M$80,AJ$9)*$T134</f>
        <v>0</v>
      </c>
      <c r="AK134" s="1">
        <f>VLOOKUP($AD134,AF!$B$39:$M$80,AK$9)*$U134</f>
        <v>0</v>
      </c>
      <c r="AL134" s="1">
        <f>VLOOKUP($AD134,AF!$B$39:$M$80,AL$9)*$V134</f>
        <v>0</v>
      </c>
      <c r="AM134" s="1">
        <f t="shared" si="165"/>
        <v>0</v>
      </c>
      <c r="AO134" s="1">
        <f t="shared" si="166"/>
        <v>0</v>
      </c>
      <c r="AP134" s="1">
        <f t="shared" si="166"/>
        <v>0</v>
      </c>
      <c r="AQ134" s="1">
        <f t="shared" si="167"/>
        <v>0</v>
      </c>
      <c r="AR134" s="72">
        <f t="shared" si="168"/>
        <v>0</v>
      </c>
    </row>
    <row r="135" spans="1:44" x14ac:dyDescent="0.45">
      <c r="A135" s="118">
        <f t="shared" si="105"/>
        <v>127</v>
      </c>
      <c r="B135" s="57">
        <v>576.5</v>
      </c>
      <c r="C135" s="34" t="s">
        <v>369</v>
      </c>
      <c r="D135" s="34" t="s">
        <v>398</v>
      </c>
      <c r="E135" s="25">
        <v>0</v>
      </c>
      <c r="F135" s="8">
        <v>101</v>
      </c>
      <c r="G135" s="1">
        <f>VLOOKUP($F135,AF!$B$39:$M$80,G$9)*$E135</f>
        <v>0</v>
      </c>
      <c r="H135" s="1">
        <f>VLOOKUP($F135,AF!$B$39:$M$80,H$9)*$E135</f>
        <v>0</v>
      </c>
      <c r="I135" s="1">
        <f>VLOOKUP($F135,AF!$B$39:$M$80,I$9)*$E135</f>
        <v>0</v>
      </c>
      <c r="J135" s="1">
        <f>VLOOKUP($F135,AF!$B$39:$M$80,J$9)*$E135</f>
        <v>0</v>
      </c>
      <c r="K135" s="1">
        <f t="shared" si="159"/>
        <v>0</v>
      </c>
      <c r="L135" s="72">
        <f t="shared" si="160"/>
        <v>0</v>
      </c>
      <c r="N135" s="8">
        <v>206</v>
      </c>
      <c r="O135" s="1">
        <f>VLOOKUP($N135,AF!$B$39:$M$80,O$9)*$G135</f>
        <v>0</v>
      </c>
      <c r="P135" s="1">
        <f>VLOOKUP($N135,AF!$B$39:$M$80,P$9)*$G135</f>
        <v>0</v>
      </c>
      <c r="Q135" s="1">
        <f>VLOOKUP($N135,AF!$B$39:$M$80,Q$9)*$H135</f>
        <v>0</v>
      </c>
      <c r="R135" s="1">
        <f>VLOOKUP($N135,AF!$B$39:$M$80,R$9)*$H135</f>
        <v>0</v>
      </c>
      <c r="S135" s="1">
        <f>VLOOKUP($N135,AF!$B$39:$M$80,S$9)*$I135</f>
        <v>0</v>
      </c>
      <c r="T135" s="1">
        <f>VLOOKUP($N135,AF!$B$39:$M$80,T$9)*$I135</f>
        <v>0</v>
      </c>
      <c r="U135" s="1">
        <f>VLOOKUP($N135,AF!$B$39:$M$80,U$9)*$J135</f>
        <v>0</v>
      </c>
      <c r="V135" s="1">
        <f>VLOOKUP($N135,AF!$B$39:$M$80,V$9)*$J135</f>
        <v>0</v>
      </c>
      <c r="W135" s="1">
        <f t="shared" si="161"/>
        <v>0</v>
      </c>
      <c r="Y135" s="1">
        <f t="shared" si="162"/>
        <v>0</v>
      </c>
      <c r="Z135" s="1">
        <f t="shared" si="162"/>
        <v>0</v>
      </c>
      <c r="AA135" s="1">
        <f t="shared" si="163"/>
        <v>0</v>
      </c>
      <c r="AB135" s="72">
        <f t="shared" si="164"/>
        <v>0</v>
      </c>
      <c r="AD135" s="72">
        <v>302</v>
      </c>
      <c r="AE135" s="1">
        <f>VLOOKUP($AD135,AF!$B$39:$M$80,AE$9)*$O135</f>
        <v>0</v>
      </c>
      <c r="AF135" s="1">
        <f>VLOOKUP($AD135,AF!$B$39:$M$80,AF$9)*$P135</f>
        <v>0</v>
      </c>
      <c r="AG135" s="1">
        <f>VLOOKUP($AD135,AF!$B$39:$M$80,AG$9)*$Q135</f>
        <v>0</v>
      </c>
      <c r="AH135" s="1">
        <f>VLOOKUP($AD135,AF!$B$39:$M$80,AH$9)*$R135</f>
        <v>0</v>
      </c>
      <c r="AI135" s="1">
        <f>VLOOKUP($AD135,AF!$B$39:$M$80,AI$9)*$S135</f>
        <v>0</v>
      </c>
      <c r="AJ135" s="1">
        <f>VLOOKUP($AD135,AF!$B$39:$M$80,AJ$9)*$T135</f>
        <v>0</v>
      </c>
      <c r="AK135" s="1">
        <f>VLOOKUP($AD135,AF!$B$39:$M$80,AK$9)*$U135</f>
        <v>0</v>
      </c>
      <c r="AL135" s="1">
        <f>VLOOKUP($AD135,AF!$B$39:$M$80,AL$9)*$V135</f>
        <v>0</v>
      </c>
      <c r="AM135" s="1">
        <f t="shared" si="165"/>
        <v>0</v>
      </c>
      <c r="AO135" s="1">
        <f t="shared" si="166"/>
        <v>0</v>
      </c>
      <c r="AP135" s="1">
        <f t="shared" si="166"/>
        <v>0</v>
      </c>
      <c r="AQ135" s="1">
        <f t="shared" si="167"/>
        <v>0</v>
      </c>
      <c r="AR135" s="72">
        <f t="shared" si="168"/>
        <v>0</v>
      </c>
    </row>
    <row r="136" spans="1:44" x14ac:dyDescent="0.45">
      <c r="A136" s="118">
        <f t="shared" si="105"/>
        <v>128</v>
      </c>
      <c r="B136" s="34"/>
      <c r="C136" s="34" t="s">
        <v>0</v>
      </c>
      <c r="D136" s="34"/>
      <c r="E136" s="33">
        <f>SUM(E131:E135)</f>
        <v>0</v>
      </c>
      <c r="F136" s="72"/>
      <c r="G136" s="33">
        <f t="shared" ref="G136:K136" si="169">SUM(G131:G135)</f>
        <v>0</v>
      </c>
      <c r="H136" s="33">
        <f t="shared" si="169"/>
        <v>0</v>
      </c>
      <c r="I136" s="33">
        <f t="shared" si="169"/>
        <v>0</v>
      </c>
      <c r="J136" s="33">
        <f t="shared" si="169"/>
        <v>0</v>
      </c>
      <c r="K136" s="33">
        <f t="shared" si="169"/>
        <v>0</v>
      </c>
      <c r="L136" s="72">
        <f t="shared" si="160"/>
        <v>0</v>
      </c>
      <c r="N136" s="72"/>
      <c r="O136" s="33">
        <f t="shared" ref="O136:W136" si="170">SUM(O131:O135)</f>
        <v>0</v>
      </c>
      <c r="P136" s="33">
        <f t="shared" si="170"/>
        <v>0</v>
      </c>
      <c r="Q136" s="33">
        <f t="shared" si="170"/>
        <v>0</v>
      </c>
      <c r="R136" s="33">
        <f t="shared" si="170"/>
        <v>0</v>
      </c>
      <c r="S136" s="33">
        <f t="shared" si="170"/>
        <v>0</v>
      </c>
      <c r="T136" s="33">
        <f t="shared" si="170"/>
        <v>0</v>
      </c>
      <c r="U136" s="33">
        <f t="shared" si="170"/>
        <v>0</v>
      </c>
      <c r="V136" s="33">
        <f t="shared" si="170"/>
        <v>0</v>
      </c>
      <c r="W136" s="33">
        <f t="shared" si="170"/>
        <v>0</v>
      </c>
      <c r="Y136" s="33">
        <f t="shared" ref="Y136:AA136" si="171">SUM(Y131:Y135)</f>
        <v>0</v>
      </c>
      <c r="Z136" s="33">
        <f t="shared" si="171"/>
        <v>0</v>
      </c>
      <c r="AA136" s="33">
        <f t="shared" si="171"/>
        <v>0</v>
      </c>
      <c r="AB136" s="72">
        <f t="shared" si="164"/>
        <v>0</v>
      </c>
      <c r="AD136" s="72"/>
      <c r="AE136" s="33">
        <f t="shared" ref="AE136:AM136" si="172">SUM(AE131:AE135)</f>
        <v>0</v>
      </c>
      <c r="AF136" s="33">
        <f t="shared" si="172"/>
        <v>0</v>
      </c>
      <c r="AG136" s="33">
        <f t="shared" si="172"/>
        <v>0</v>
      </c>
      <c r="AH136" s="33">
        <f t="shared" si="172"/>
        <v>0</v>
      </c>
      <c r="AI136" s="33">
        <f t="shared" si="172"/>
        <v>0</v>
      </c>
      <c r="AJ136" s="33">
        <f t="shared" si="172"/>
        <v>0</v>
      </c>
      <c r="AK136" s="33">
        <f t="shared" si="172"/>
        <v>0</v>
      </c>
      <c r="AL136" s="33">
        <f t="shared" si="172"/>
        <v>0</v>
      </c>
      <c r="AM136" s="33">
        <f t="shared" si="172"/>
        <v>0</v>
      </c>
      <c r="AO136" s="33">
        <f t="shared" ref="AO136:AQ136" si="173">SUM(AO131:AO135)</f>
        <v>0</v>
      </c>
      <c r="AP136" s="33">
        <f t="shared" si="173"/>
        <v>0</v>
      </c>
      <c r="AQ136" s="33">
        <f t="shared" si="173"/>
        <v>0</v>
      </c>
      <c r="AR136" s="72">
        <f t="shared" si="168"/>
        <v>0</v>
      </c>
    </row>
    <row r="137" spans="1:44" x14ac:dyDescent="0.45">
      <c r="A137" s="118">
        <f t="shared" si="105"/>
        <v>129</v>
      </c>
      <c r="B137" s="34"/>
      <c r="C137" s="34"/>
      <c r="D137" s="34"/>
      <c r="E137" s="31"/>
      <c r="F137" s="72"/>
      <c r="G137" s="31"/>
      <c r="H137" s="31"/>
      <c r="I137" s="31"/>
      <c r="J137" s="31"/>
      <c r="K137" s="31"/>
      <c r="L137" s="72"/>
      <c r="N137" s="72"/>
      <c r="O137" s="31"/>
      <c r="P137" s="31"/>
      <c r="Q137" s="31"/>
      <c r="R137" s="31"/>
      <c r="S137" s="31"/>
      <c r="T137" s="31"/>
      <c r="U137" s="31"/>
      <c r="V137" s="31"/>
      <c r="W137" s="31"/>
      <c r="Y137" s="31"/>
      <c r="Z137" s="31"/>
      <c r="AA137" s="31"/>
      <c r="AB137" s="72"/>
      <c r="AD137" s="72"/>
      <c r="AE137" s="31"/>
      <c r="AF137" s="31"/>
      <c r="AG137" s="31"/>
      <c r="AH137" s="31"/>
      <c r="AI137" s="31"/>
      <c r="AJ137" s="31"/>
      <c r="AK137" s="31"/>
      <c r="AL137" s="31"/>
      <c r="AM137" s="31"/>
      <c r="AO137" s="31"/>
      <c r="AP137" s="31"/>
      <c r="AQ137" s="31"/>
      <c r="AR137" s="72"/>
    </row>
    <row r="138" spans="1:44" ht="14.65" thickBot="1" x14ac:dyDescent="0.5">
      <c r="A138" s="118">
        <f t="shared" si="105"/>
        <v>130</v>
      </c>
      <c r="B138" s="34" t="s">
        <v>402</v>
      </c>
      <c r="C138" s="34"/>
      <c r="D138" s="34"/>
      <c r="E138" s="62">
        <f>+E128+E136</f>
        <v>4494204</v>
      </c>
      <c r="F138" s="72"/>
      <c r="G138" s="62">
        <f t="shared" ref="G138:I138" si="174">+G128+G136</f>
        <v>0</v>
      </c>
      <c r="H138" s="62">
        <f t="shared" si="174"/>
        <v>0</v>
      </c>
      <c r="I138" s="62">
        <f t="shared" si="174"/>
        <v>0</v>
      </c>
      <c r="J138" s="62">
        <f t="shared" ref="J138:K138" si="175">+J128+J136</f>
        <v>0</v>
      </c>
      <c r="K138" s="62">
        <f t="shared" si="175"/>
        <v>4494204</v>
      </c>
      <c r="L138" s="72">
        <f>$E138-SUM(G138:K138)</f>
        <v>0</v>
      </c>
      <c r="N138" s="72"/>
      <c r="O138" s="62">
        <f t="shared" ref="O138" si="176">+O128+O136</f>
        <v>0</v>
      </c>
      <c r="P138" s="62">
        <f t="shared" ref="P138:W138" si="177">+P128+P136</f>
        <v>0</v>
      </c>
      <c r="Q138" s="62">
        <f t="shared" si="177"/>
        <v>0</v>
      </c>
      <c r="R138" s="62">
        <f t="shared" ref="R138" si="178">+R128+R136</f>
        <v>0</v>
      </c>
      <c r="S138" s="62">
        <f t="shared" si="177"/>
        <v>0</v>
      </c>
      <c r="T138" s="62">
        <f t="shared" ref="T138" si="179">+T128+T136</f>
        <v>0</v>
      </c>
      <c r="U138" s="62">
        <f t="shared" si="177"/>
        <v>0</v>
      </c>
      <c r="V138" s="62">
        <f t="shared" ref="V138" si="180">+V128+V136</f>
        <v>0</v>
      </c>
      <c r="W138" s="62">
        <f t="shared" si="177"/>
        <v>4494204</v>
      </c>
      <c r="Y138" s="62">
        <f t="shared" ref="Y138:AA138" si="181">+Y128+Y136</f>
        <v>0</v>
      </c>
      <c r="Z138" s="62">
        <f t="shared" si="181"/>
        <v>0</v>
      </c>
      <c r="AA138" s="62">
        <f t="shared" si="181"/>
        <v>4494204</v>
      </c>
      <c r="AB138" s="72">
        <f t="shared" ref="AB138" si="182">$E138-AA138</f>
        <v>0</v>
      </c>
      <c r="AD138" s="72"/>
      <c r="AE138" s="62">
        <f t="shared" ref="AE138:AM138" si="183">+AE128+AE136</f>
        <v>0</v>
      </c>
      <c r="AF138" s="62">
        <f t="shared" si="183"/>
        <v>0</v>
      </c>
      <c r="AG138" s="62">
        <f t="shared" si="183"/>
        <v>0</v>
      </c>
      <c r="AH138" s="62">
        <f t="shared" si="183"/>
        <v>0</v>
      </c>
      <c r="AI138" s="62">
        <f t="shared" si="183"/>
        <v>0</v>
      </c>
      <c r="AJ138" s="62">
        <f t="shared" si="183"/>
        <v>0</v>
      </c>
      <c r="AK138" s="62">
        <f t="shared" si="183"/>
        <v>0</v>
      </c>
      <c r="AL138" s="62">
        <f t="shared" si="183"/>
        <v>0</v>
      </c>
      <c r="AM138" s="62">
        <f t="shared" si="183"/>
        <v>4494204</v>
      </c>
      <c r="AO138" s="62">
        <f t="shared" ref="AO138:AQ138" si="184">+AO128+AO136</f>
        <v>0</v>
      </c>
      <c r="AP138" s="62">
        <f t="shared" si="184"/>
        <v>0</v>
      </c>
      <c r="AQ138" s="62">
        <f t="shared" si="184"/>
        <v>4494204</v>
      </c>
      <c r="AR138" s="72">
        <f t="shared" ref="AR138" si="185">$E138-AQ138</f>
        <v>0</v>
      </c>
    </row>
    <row r="139" spans="1:44" ht="14.65" thickTop="1" x14ac:dyDescent="0.45">
      <c r="A139" s="118">
        <f t="shared" ref="A139:A202" si="186">+A138+1</f>
        <v>131</v>
      </c>
      <c r="B139" s="34"/>
      <c r="C139" s="34"/>
      <c r="D139" s="34"/>
      <c r="E139" s="34"/>
      <c r="F139" s="74"/>
      <c r="G139" s="88"/>
      <c r="H139" s="88"/>
      <c r="I139" s="88"/>
      <c r="J139" s="88"/>
      <c r="K139" s="88"/>
      <c r="L139" s="74"/>
      <c r="N139" s="74"/>
      <c r="O139" s="88"/>
      <c r="P139" s="88"/>
      <c r="Q139" s="88"/>
      <c r="R139" s="88"/>
      <c r="S139" s="88"/>
      <c r="T139" s="88"/>
      <c r="U139" s="88"/>
      <c r="V139" s="88"/>
      <c r="W139" s="88"/>
      <c r="Y139" s="88"/>
      <c r="Z139" s="88"/>
      <c r="AA139" s="88"/>
      <c r="AB139" s="74"/>
      <c r="AD139" s="74"/>
      <c r="AE139" s="88"/>
      <c r="AF139" s="88"/>
      <c r="AG139" s="88"/>
      <c r="AH139" s="88"/>
      <c r="AI139" s="88"/>
      <c r="AJ139" s="88"/>
      <c r="AK139" s="88"/>
      <c r="AL139" s="88"/>
      <c r="AM139" s="88"/>
      <c r="AO139" s="88"/>
      <c r="AP139" s="88"/>
      <c r="AQ139" s="88"/>
      <c r="AR139" s="74"/>
    </row>
    <row r="140" spans="1:44" x14ac:dyDescent="0.45">
      <c r="A140" s="118">
        <f t="shared" si="186"/>
        <v>132</v>
      </c>
      <c r="B140" s="35" t="s">
        <v>403</v>
      </c>
      <c r="C140" s="35"/>
      <c r="D140" s="34"/>
      <c r="E140" s="34"/>
      <c r="F140" s="74"/>
      <c r="G140" s="88"/>
      <c r="H140" s="88"/>
      <c r="I140" s="88"/>
      <c r="J140" s="88"/>
      <c r="K140" s="88"/>
      <c r="L140" s="74"/>
      <c r="N140" s="74"/>
      <c r="O140" s="88"/>
      <c r="P140" s="88"/>
      <c r="Q140" s="88"/>
      <c r="R140" s="88"/>
      <c r="S140" s="88"/>
      <c r="T140" s="88"/>
      <c r="U140" s="88"/>
      <c r="V140" s="88"/>
      <c r="W140" s="88"/>
      <c r="Y140" s="88"/>
      <c r="Z140" s="88"/>
      <c r="AA140" s="88"/>
      <c r="AB140" s="74"/>
      <c r="AD140" s="74"/>
      <c r="AE140" s="88"/>
      <c r="AF140" s="88"/>
      <c r="AG140" s="88"/>
      <c r="AH140" s="88"/>
      <c r="AI140" s="88"/>
      <c r="AJ140" s="88"/>
      <c r="AK140" s="88"/>
      <c r="AL140" s="88"/>
      <c r="AM140" s="88"/>
      <c r="AO140" s="88"/>
      <c r="AP140" s="88"/>
      <c r="AQ140" s="88"/>
      <c r="AR140" s="74"/>
    </row>
    <row r="141" spans="1:44" x14ac:dyDescent="0.45">
      <c r="A141" s="118">
        <f t="shared" si="186"/>
        <v>133</v>
      </c>
      <c r="B141" s="79">
        <v>580</v>
      </c>
      <c r="C141" s="37" t="s">
        <v>45</v>
      </c>
      <c r="D141" s="34" t="s">
        <v>303</v>
      </c>
      <c r="E141" s="25">
        <v>0</v>
      </c>
      <c r="F141" s="72">
        <v>101</v>
      </c>
      <c r="G141" s="1">
        <f>VLOOKUP($F141,AF!$B$39:$M$80,G$9)*$E141</f>
        <v>0</v>
      </c>
      <c r="H141" s="1">
        <f>VLOOKUP($F141,AF!$B$39:$M$80,H$9)*$E141</f>
        <v>0</v>
      </c>
      <c r="I141" s="1">
        <f>VLOOKUP($F141,AF!$B$39:$M$80,I$9)*$E141</f>
        <v>0</v>
      </c>
      <c r="J141" s="1">
        <f>VLOOKUP($F141,AF!$B$39:$M$80,J$9)*$E141</f>
        <v>0</v>
      </c>
      <c r="K141" s="1">
        <f t="shared" ref="K141" si="187">E141-SUM(G141:J141)</f>
        <v>0</v>
      </c>
      <c r="L141" s="72">
        <f t="shared" ref="L141:L156" si="188">$E141-SUM(G141:K141)</f>
        <v>0</v>
      </c>
      <c r="N141" s="8">
        <v>203</v>
      </c>
      <c r="O141" s="1">
        <f>VLOOKUP($N141,AF!$B$39:$M$80,O$9)*$G141</f>
        <v>0</v>
      </c>
      <c r="P141" s="1">
        <f>VLOOKUP($N141,AF!$B$39:$M$80,P$9)*$G141</f>
        <v>0</v>
      </c>
      <c r="Q141" s="1">
        <f>VLOOKUP($N141,AF!$B$39:$M$80,Q$9)*$H141</f>
        <v>0</v>
      </c>
      <c r="R141" s="1">
        <f>VLOOKUP($N141,AF!$B$39:$M$80,R$9)*$H141</f>
        <v>0</v>
      </c>
      <c r="S141" s="1">
        <f>VLOOKUP($N141,AF!$B$39:$M$80,S$9)*$I141</f>
        <v>0</v>
      </c>
      <c r="T141" s="1">
        <f>VLOOKUP($N141,AF!$B$39:$M$80,T$9)*$I141</f>
        <v>0</v>
      </c>
      <c r="U141" s="1">
        <f>VLOOKUP($N141,AF!$B$39:$M$80,U$9)*$J141</f>
        <v>0</v>
      </c>
      <c r="V141" s="1">
        <f>VLOOKUP($N141,AF!$B$39:$M$80,V$9)*$J141</f>
        <v>0</v>
      </c>
      <c r="W141" s="1">
        <f t="shared" ref="W141:W155" si="189">E141-SUM(O141:V141)</f>
        <v>0</v>
      </c>
      <c r="Y141" s="1">
        <f t="shared" ref="Y141:Y155" si="190">+O141+Q141+S141+U141</f>
        <v>0</v>
      </c>
      <c r="Z141" s="1">
        <f t="shared" ref="Z141:Z155" si="191">+P141+R141+T141+V141</f>
        <v>0</v>
      </c>
      <c r="AA141" s="1">
        <f t="shared" ref="AA141:AA155" si="192">+Z141+Y141+W141</f>
        <v>0</v>
      </c>
      <c r="AB141" s="72">
        <f t="shared" ref="AB141:AB156" si="193">$E141-AA141</f>
        <v>0</v>
      </c>
      <c r="AD141" s="72">
        <v>301</v>
      </c>
      <c r="AE141" s="1">
        <f>VLOOKUP($AD141,AF!$B$39:$M$80,AE$9)*$O141</f>
        <v>0</v>
      </c>
      <c r="AF141" s="1">
        <f>VLOOKUP($AD141,AF!$B$39:$M$80,AF$9)*$P141</f>
        <v>0</v>
      </c>
      <c r="AG141" s="1">
        <f>VLOOKUP($AD141,AF!$B$39:$M$80,AG$9)*$Q141</f>
        <v>0</v>
      </c>
      <c r="AH141" s="1">
        <f>VLOOKUP($AD141,AF!$B$39:$M$80,AH$9)*$R141</f>
        <v>0</v>
      </c>
      <c r="AI141" s="1">
        <f>VLOOKUP($AD141,AF!$B$39:$M$80,AI$9)*$S141</f>
        <v>0</v>
      </c>
      <c r="AJ141" s="1">
        <f>VLOOKUP($AD141,AF!$B$39:$M$80,AJ$9)*$T141</f>
        <v>0</v>
      </c>
      <c r="AK141" s="1">
        <f>VLOOKUP($AD141,AF!$B$39:$M$80,AK$9)*$U141</f>
        <v>0</v>
      </c>
      <c r="AL141" s="1">
        <f>VLOOKUP($AD141,AF!$B$39:$M$80,AL$9)*$V141</f>
        <v>0</v>
      </c>
      <c r="AM141" s="1">
        <f t="shared" ref="AM141:AM155" si="194">E141-SUM(AE141:AL141)</f>
        <v>0</v>
      </c>
      <c r="AO141" s="1">
        <f t="shared" ref="AO141:AO155" si="195">+AE141+AG141+AI141+AK141</f>
        <v>0</v>
      </c>
      <c r="AP141" s="1">
        <f t="shared" ref="AP141:AP155" si="196">+AF141+AH141+AJ141+AL141</f>
        <v>0</v>
      </c>
      <c r="AQ141" s="1">
        <f t="shared" ref="AQ141:AQ155" si="197">+AP141+AO141+AM141</f>
        <v>0</v>
      </c>
      <c r="AR141" s="72">
        <f t="shared" ref="AR141:AR156" si="198">$E141-AQ141</f>
        <v>0</v>
      </c>
    </row>
    <row r="142" spans="1:44" x14ac:dyDescent="0.45">
      <c r="A142" s="118">
        <f t="shared" si="186"/>
        <v>134</v>
      </c>
      <c r="B142" s="79" t="s">
        <v>625</v>
      </c>
      <c r="C142" s="79" t="s">
        <v>626</v>
      </c>
      <c r="D142" s="34"/>
      <c r="E142" s="17">
        <f>SUM(G142:K142)</f>
        <v>0</v>
      </c>
      <c r="F142" s="72">
        <v>100</v>
      </c>
      <c r="G142" s="25">
        <v>0</v>
      </c>
      <c r="H142" s="25">
        <v>0</v>
      </c>
      <c r="I142" s="25">
        <v>0</v>
      </c>
      <c r="J142" s="25">
        <v>0</v>
      </c>
      <c r="K142" s="25">
        <v>0</v>
      </c>
      <c r="L142" s="72">
        <f t="shared" si="188"/>
        <v>0</v>
      </c>
      <c r="N142" s="8">
        <v>203</v>
      </c>
      <c r="O142" s="1">
        <f>VLOOKUP($N142,AF!$B$39:$M$80,O$9)*$G142</f>
        <v>0</v>
      </c>
      <c r="P142" s="1">
        <f>VLOOKUP($N142,AF!$B$39:$M$80,P$9)*$G142</f>
        <v>0</v>
      </c>
      <c r="Q142" s="1">
        <f>VLOOKUP($N142,AF!$B$39:$M$80,Q$9)*$H142</f>
        <v>0</v>
      </c>
      <c r="R142" s="1">
        <f>VLOOKUP($N142,AF!$B$39:$M$80,R$9)*$H142</f>
        <v>0</v>
      </c>
      <c r="S142" s="1">
        <f>VLOOKUP($N142,AF!$B$39:$M$80,S$9)*$I142</f>
        <v>0</v>
      </c>
      <c r="T142" s="1">
        <f>VLOOKUP($N142,AF!$B$39:$M$80,T$9)*$I142</f>
        <v>0</v>
      </c>
      <c r="U142" s="1">
        <f>VLOOKUP($N142,AF!$B$39:$M$80,U$9)*$J142</f>
        <v>0</v>
      </c>
      <c r="V142" s="1">
        <f>VLOOKUP($N142,AF!$B$39:$M$80,V$9)*$J142</f>
        <v>0</v>
      </c>
      <c r="W142" s="1">
        <f t="shared" si="189"/>
        <v>0</v>
      </c>
      <c r="Y142" s="1">
        <f t="shared" si="190"/>
        <v>0</v>
      </c>
      <c r="Z142" s="1">
        <f t="shared" si="191"/>
        <v>0</v>
      </c>
      <c r="AA142" s="1">
        <f t="shared" si="192"/>
        <v>0</v>
      </c>
      <c r="AB142" s="72">
        <f t="shared" si="193"/>
        <v>0</v>
      </c>
      <c r="AD142" s="72">
        <v>301</v>
      </c>
      <c r="AE142" s="1">
        <f>VLOOKUP($AD142,AF!$B$39:$M$80,AE$9)*$O142</f>
        <v>0</v>
      </c>
      <c r="AF142" s="1">
        <f>VLOOKUP($AD142,AF!$B$39:$M$80,AF$9)*$P142</f>
        <v>0</v>
      </c>
      <c r="AG142" s="1">
        <f>VLOOKUP($AD142,AF!$B$39:$M$80,AG$9)*$Q142</f>
        <v>0</v>
      </c>
      <c r="AH142" s="1">
        <f>VLOOKUP($AD142,AF!$B$39:$M$80,AH$9)*$R142</f>
        <v>0</v>
      </c>
      <c r="AI142" s="1">
        <f>VLOOKUP($AD142,AF!$B$39:$M$80,AI$9)*$S142</f>
        <v>0</v>
      </c>
      <c r="AJ142" s="1">
        <f>VLOOKUP($AD142,AF!$B$39:$M$80,AJ$9)*$T142</f>
        <v>0</v>
      </c>
      <c r="AK142" s="1">
        <f>VLOOKUP($AD142,AF!$B$39:$M$80,AK$9)*$U142</f>
        <v>0</v>
      </c>
      <c r="AL142" s="1">
        <f>VLOOKUP($AD142,AF!$B$39:$M$80,AL$9)*$V142</f>
        <v>0</v>
      </c>
      <c r="AM142" s="1">
        <f t="shared" si="194"/>
        <v>0</v>
      </c>
      <c r="AO142" s="1">
        <f t="shared" si="195"/>
        <v>0</v>
      </c>
      <c r="AP142" s="1">
        <f t="shared" si="196"/>
        <v>0</v>
      </c>
      <c r="AQ142" s="1">
        <f t="shared" si="197"/>
        <v>0</v>
      </c>
      <c r="AR142" s="72">
        <f t="shared" si="198"/>
        <v>0</v>
      </c>
    </row>
    <row r="143" spans="1:44" x14ac:dyDescent="0.45">
      <c r="A143" s="118">
        <f t="shared" si="186"/>
        <v>135</v>
      </c>
      <c r="B143" s="79">
        <v>581</v>
      </c>
      <c r="C143" s="37" t="s">
        <v>234</v>
      </c>
      <c r="D143" s="34" t="s">
        <v>304</v>
      </c>
      <c r="E143" s="25">
        <v>0</v>
      </c>
      <c r="F143" s="72">
        <v>101</v>
      </c>
      <c r="G143" s="1">
        <f>VLOOKUP($F143,AF!$B$39:$M$80,G$9)*$E143</f>
        <v>0</v>
      </c>
      <c r="H143" s="1">
        <f>VLOOKUP($F143,AF!$B$39:$M$80,H$9)*$E143</f>
        <v>0</v>
      </c>
      <c r="I143" s="1">
        <f>VLOOKUP($F143,AF!$B$39:$M$80,I$9)*$E143</f>
        <v>0</v>
      </c>
      <c r="J143" s="1">
        <f>VLOOKUP($F143,AF!$B$39:$M$80,J$9)*$E143</f>
        <v>0</v>
      </c>
      <c r="K143" s="1">
        <f t="shared" ref="K143" si="199">E143-SUM(G143:J143)</f>
        <v>0</v>
      </c>
      <c r="L143" s="72">
        <f t="shared" si="188"/>
        <v>0</v>
      </c>
      <c r="N143" s="8">
        <v>203</v>
      </c>
      <c r="O143" s="1">
        <f>VLOOKUP($N143,AF!$B$39:$M$80,O$9)*$G143</f>
        <v>0</v>
      </c>
      <c r="P143" s="1">
        <f>VLOOKUP($N143,AF!$B$39:$M$80,P$9)*$G143</f>
        <v>0</v>
      </c>
      <c r="Q143" s="1">
        <f>VLOOKUP($N143,AF!$B$39:$M$80,Q$9)*$H143</f>
        <v>0</v>
      </c>
      <c r="R143" s="1">
        <f>VLOOKUP($N143,AF!$B$39:$M$80,R$9)*$H143</f>
        <v>0</v>
      </c>
      <c r="S143" s="1">
        <f>VLOOKUP($N143,AF!$B$39:$M$80,S$9)*$I143</f>
        <v>0</v>
      </c>
      <c r="T143" s="1">
        <f>VLOOKUP($N143,AF!$B$39:$M$80,T$9)*$I143</f>
        <v>0</v>
      </c>
      <c r="U143" s="1">
        <f>VLOOKUP($N143,AF!$B$39:$M$80,U$9)*$J143</f>
        <v>0</v>
      </c>
      <c r="V143" s="1">
        <f>VLOOKUP($N143,AF!$B$39:$M$80,V$9)*$J143</f>
        <v>0</v>
      </c>
      <c r="W143" s="1">
        <f t="shared" si="189"/>
        <v>0</v>
      </c>
      <c r="Y143" s="1">
        <f t="shared" si="190"/>
        <v>0</v>
      </c>
      <c r="Z143" s="1">
        <f t="shared" si="191"/>
        <v>0</v>
      </c>
      <c r="AA143" s="1">
        <f t="shared" si="192"/>
        <v>0</v>
      </c>
      <c r="AB143" s="72">
        <f t="shared" si="193"/>
        <v>0</v>
      </c>
      <c r="AD143" s="72">
        <v>301</v>
      </c>
      <c r="AE143" s="1">
        <f>VLOOKUP($AD143,AF!$B$39:$M$80,AE$9)*$O143</f>
        <v>0</v>
      </c>
      <c r="AF143" s="1">
        <f>VLOOKUP($AD143,AF!$B$39:$M$80,AF$9)*$P143</f>
        <v>0</v>
      </c>
      <c r="AG143" s="1">
        <f>VLOOKUP($AD143,AF!$B$39:$M$80,AG$9)*$Q143</f>
        <v>0</v>
      </c>
      <c r="AH143" s="1">
        <f>VLOOKUP($AD143,AF!$B$39:$M$80,AH$9)*$R143</f>
        <v>0</v>
      </c>
      <c r="AI143" s="1">
        <f>VLOOKUP($AD143,AF!$B$39:$M$80,AI$9)*$S143</f>
        <v>0</v>
      </c>
      <c r="AJ143" s="1">
        <f>VLOOKUP($AD143,AF!$B$39:$M$80,AJ$9)*$T143</f>
        <v>0</v>
      </c>
      <c r="AK143" s="1">
        <f>VLOOKUP($AD143,AF!$B$39:$M$80,AK$9)*$U143</f>
        <v>0</v>
      </c>
      <c r="AL143" s="1">
        <f>VLOOKUP($AD143,AF!$B$39:$M$80,AL$9)*$V143</f>
        <v>0</v>
      </c>
      <c r="AM143" s="1">
        <f t="shared" si="194"/>
        <v>0</v>
      </c>
      <c r="AO143" s="1">
        <f t="shared" si="195"/>
        <v>0</v>
      </c>
      <c r="AP143" s="1">
        <f t="shared" si="196"/>
        <v>0</v>
      </c>
      <c r="AQ143" s="1">
        <f t="shared" si="197"/>
        <v>0</v>
      </c>
      <c r="AR143" s="72">
        <f t="shared" si="198"/>
        <v>0</v>
      </c>
    </row>
    <row r="144" spans="1:44" x14ac:dyDescent="0.45">
      <c r="A144" s="118">
        <f t="shared" si="186"/>
        <v>136</v>
      </c>
      <c r="B144" s="79" t="s">
        <v>627</v>
      </c>
      <c r="C144" s="79" t="s">
        <v>628</v>
      </c>
      <c r="D144" s="34"/>
      <c r="E144" s="17">
        <f>SUM(G144:K144)</f>
        <v>0</v>
      </c>
      <c r="F144" s="72">
        <v>100</v>
      </c>
      <c r="G144" s="25">
        <v>0</v>
      </c>
      <c r="H144" s="25">
        <v>0</v>
      </c>
      <c r="I144" s="25">
        <v>0</v>
      </c>
      <c r="J144" s="25">
        <v>0</v>
      </c>
      <c r="K144" s="25">
        <v>0</v>
      </c>
      <c r="L144" s="72">
        <f t="shared" si="188"/>
        <v>0</v>
      </c>
      <c r="N144" s="8">
        <v>203</v>
      </c>
      <c r="O144" s="1">
        <f>VLOOKUP($N144,AF!$B$39:$M$80,O$9)*$G144</f>
        <v>0</v>
      </c>
      <c r="P144" s="1">
        <f>VLOOKUP($N144,AF!$B$39:$M$80,P$9)*$G144</f>
        <v>0</v>
      </c>
      <c r="Q144" s="1">
        <f>VLOOKUP($N144,AF!$B$39:$M$80,Q$9)*$H144</f>
        <v>0</v>
      </c>
      <c r="R144" s="1">
        <f>VLOOKUP($N144,AF!$B$39:$M$80,R$9)*$H144</f>
        <v>0</v>
      </c>
      <c r="S144" s="1">
        <f>VLOOKUP($N144,AF!$B$39:$M$80,S$9)*$I144</f>
        <v>0</v>
      </c>
      <c r="T144" s="1">
        <f>VLOOKUP($N144,AF!$B$39:$M$80,T$9)*$I144</f>
        <v>0</v>
      </c>
      <c r="U144" s="1">
        <f>VLOOKUP($N144,AF!$B$39:$M$80,U$9)*$J144</f>
        <v>0</v>
      </c>
      <c r="V144" s="1">
        <f>VLOOKUP($N144,AF!$B$39:$M$80,V$9)*$J144</f>
        <v>0</v>
      </c>
      <c r="W144" s="1">
        <f t="shared" si="189"/>
        <v>0</v>
      </c>
      <c r="Y144" s="1">
        <f t="shared" si="190"/>
        <v>0</v>
      </c>
      <c r="Z144" s="1">
        <f t="shared" si="191"/>
        <v>0</v>
      </c>
      <c r="AA144" s="1">
        <f t="shared" si="192"/>
        <v>0</v>
      </c>
      <c r="AB144" s="72">
        <f t="shared" si="193"/>
        <v>0</v>
      </c>
      <c r="AD144" s="72">
        <v>301</v>
      </c>
      <c r="AE144" s="1">
        <f>VLOOKUP($AD144,AF!$B$39:$M$80,AE$9)*$O144</f>
        <v>0</v>
      </c>
      <c r="AF144" s="1">
        <f>VLOOKUP($AD144,AF!$B$39:$M$80,AF$9)*$P144</f>
        <v>0</v>
      </c>
      <c r="AG144" s="1">
        <f>VLOOKUP($AD144,AF!$B$39:$M$80,AG$9)*$Q144</f>
        <v>0</v>
      </c>
      <c r="AH144" s="1">
        <f>VLOOKUP($AD144,AF!$B$39:$M$80,AH$9)*$R144</f>
        <v>0</v>
      </c>
      <c r="AI144" s="1">
        <f>VLOOKUP($AD144,AF!$B$39:$M$80,AI$9)*$S144</f>
        <v>0</v>
      </c>
      <c r="AJ144" s="1">
        <f>VLOOKUP($AD144,AF!$B$39:$M$80,AJ$9)*$T144</f>
        <v>0</v>
      </c>
      <c r="AK144" s="1">
        <f>VLOOKUP($AD144,AF!$B$39:$M$80,AK$9)*$U144</f>
        <v>0</v>
      </c>
      <c r="AL144" s="1">
        <f>VLOOKUP($AD144,AF!$B$39:$M$80,AL$9)*$V144</f>
        <v>0</v>
      </c>
      <c r="AM144" s="1">
        <f t="shared" si="194"/>
        <v>0</v>
      </c>
      <c r="AO144" s="1">
        <f t="shared" si="195"/>
        <v>0</v>
      </c>
      <c r="AP144" s="1">
        <f t="shared" si="196"/>
        <v>0</v>
      </c>
      <c r="AQ144" s="1">
        <f t="shared" si="197"/>
        <v>0</v>
      </c>
      <c r="AR144" s="72">
        <f t="shared" si="198"/>
        <v>0</v>
      </c>
    </row>
    <row r="145" spans="1:44" x14ac:dyDescent="0.45">
      <c r="A145" s="118">
        <f t="shared" si="186"/>
        <v>137</v>
      </c>
      <c r="B145" s="79">
        <v>582</v>
      </c>
      <c r="C145" s="37" t="s">
        <v>305</v>
      </c>
      <c r="D145" s="34" t="s">
        <v>306</v>
      </c>
      <c r="E145" s="25">
        <f>610476-E146</f>
        <v>0.30000000004656613</v>
      </c>
      <c r="F145" s="72">
        <v>101</v>
      </c>
      <c r="G145" s="1">
        <f>VLOOKUP($F145,AF!$B$39:$M$80,G$9)*$E145</f>
        <v>0</v>
      </c>
      <c r="H145" s="1">
        <f>VLOOKUP($F145,AF!$B$39:$M$80,H$9)*$E145</f>
        <v>0</v>
      </c>
      <c r="I145" s="1">
        <f>VLOOKUP($F145,AF!$B$39:$M$80,I$9)*$E145</f>
        <v>0</v>
      </c>
      <c r="J145" s="1">
        <f>VLOOKUP($F145,AF!$B$39:$M$80,J$9)*$E145</f>
        <v>0</v>
      </c>
      <c r="K145" s="1">
        <f t="shared" ref="K145" si="200">E145-SUM(G145:J145)</f>
        <v>0.30000000004656613</v>
      </c>
      <c r="L145" s="72">
        <f t="shared" si="188"/>
        <v>0</v>
      </c>
      <c r="N145" s="8">
        <v>203</v>
      </c>
      <c r="O145" s="1">
        <f>VLOOKUP($N145,AF!$B$39:$M$80,O$9)*$G145</f>
        <v>0</v>
      </c>
      <c r="P145" s="1">
        <f>VLOOKUP($N145,AF!$B$39:$M$80,P$9)*$G145</f>
        <v>0</v>
      </c>
      <c r="Q145" s="1">
        <f>VLOOKUP($N145,AF!$B$39:$M$80,Q$9)*$H145</f>
        <v>0</v>
      </c>
      <c r="R145" s="1">
        <f>VLOOKUP($N145,AF!$B$39:$M$80,R$9)*$H145</f>
        <v>0</v>
      </c>
      <c r="S145" s="1">
        <f>VLOOKUP($N145,AF!$B$39:$M$80,S$9)*$I145</f>
        <v>0</v>
      </c>
      <c r="T145" s="1">
        <f>VLOOKUP($N145,AF!$B$39:$M$80,T$9)*$I145</f>
        <v>0</v>
      </c>
      <c r="U145" s="1">
        <f>VLOOKUP($N145,AF!$B$39:$M$80,U$9)*$J145</f>
        <v>0</v>
      </c>
      <c r="V145" s="1">
        <f>VLOOKUP($N145,AF!$B$39:$M$80,V$9)*$J145</f>
        <v>0</v>
      </c>
      <c r="W145" s="1">
        <f t="shared" si="189"/>
        <v>0.30000000004656613</v>
      </c>
      <c r="Y145" s="1">
        <f t="shared" si="190"/>
        <v>0</v>
      </c>
      <c r="Z145" s="1">
        <f t="shared" si="191"/>
        <v>0</v>
      </c>
      <c r="AA145" s="1">
        <f t="shared" si="192"/>
        <v>0.30000000004656613</v>
      </c>
      <c r="AB145" s="72">
        <f t="shared" si="193"/>
        <v>0</v>
      </c>
      <c r="AD145" s="72">
        <v>301</v>
      </c>
      <c r="AE145" s="1">
        <f>VLOOKUP($AD145,AF!$B$39:$M$80,AE$9)*$O145</f>
        <v>0</v>
      </c>
      <c r="AF145" s="1">
        <f>VLOOKUP($AD145,AF!$B$39:$M$80,AF$9)*$P145</f>
        <v>0</v>
      </c>
      <c r="AG145" s="1">
        <f>VLOOKUP($AD145,AF!$B$39:$M$80,AG$9)*$Q145</f>
        <v>0</v>
      </c>
      <c r="AH145" s="1">
        <f>VLOOKUP($AD145,AF!$B$39:$M$80,AH$9)*$R145</f>
        <v>0</v>
      </c>
      <c r="AI145" s="1">
        <f>VLOOKUP($AD145,AF!$B$39:$M$80,AI$9)*$S145</f>
        <v>0</v>
      </c>
      <c r="AJ145" s="1">
        <f>VLOOKUP($AD145,AF!$B$39:$M$80,AJ$9)*$T145</f>
        <v>0</v>
      </c>
      <c r="AK145" s="1">
        <f>VLOOKUP($AD145,AF!$B$39:$M$80,AK$9)*$U145</f>
        <v>0</v>
      </c>
      <c r="AL145" s="1">
        <f>VLOOKUP($AD145,AF!$B$39:$M$80,AL$9)*$V145</f>
        <v>0</v>
      </c>
      <c r="AM145" s="1">
        <f t="shared" si="194"/>
        <v>0.30000000004656613</v>
      </c>
      <c r="AO145" s="1">
        <f t="shared" si="195"/>
        <v>0</v>
      </c>
      <c r="AP145" s="1">
        <f t="shared" si="196"/>
        <v>0</v>
      </c>
      <c r="AQ145" s="1">
        <f t="shared" si="197"/>
        <v>0.30000000004656613</v>
      </c>
      <c r="AR145" s="72">
        <f t="shared" si="198"/>
        <v>0</v>
      </c>
    </row>
    <row r="146" spans="1:44" x14ac:dyDescent="0.45">
      <c r="A146" s="118">
        <f t="shared" si="186"/>
        <v>138</v>
      </c>
      <c r="B146" s="79" t="s">
        <v>629</v>
      </c>
      <c r="C146" s="79" t="s">
        <v>630</v>
      </c>
      <c r="D146" s="34"/>
      <c r="E146" s="17">
        <f>SUM(G146:K146)</f>
        <v>610475.69999999995</v>
      </c>
      <c r="F146" s="72">
        <v>100</v>
      </c>
      <c r="G146" s="25">
        <v>98189.98</v>
      </c>
      <c r="H146" s="27">
        <v>3392.62</v>
      </c>
      <c r="I146" s="27">
        <v>94154.21</v>
      </c>
      <c r="J146" s="25">
        <v>0</v>
      </c>
      <c r="K146" s="25">
        <f>6848.52+407890.37</f>
        <v>414738.89</v>
      </c>
      <c r="L146" s="72">
        <f t="shared" si="188"/>
        <v>0</v>
      </c>
      <c r="N146" s="8">
        <v>203</v>
      </c>
      <c r="O146" s="1">
        <f>VLOOKUP($N146,AF!$B$39:$M$80,O$9)*$G146</f>
        <v>22556.158124647129</v>
      </c>
      <c r="P146" s="1">
        <f>VLOOKUP($N146,AF!$B$39:$M$80,P$9)*$G146</f>
        <v>75633.821875352864</v>
      </c>
      <c r="Q146" s="1">
        <f>VLOOKUP($N146,AF!$B$39:$M$80,Q$9)*$H146</f>
        <v>3392.62</v>
      </c>
      <c r="R146" s="1">
        <f>VLOOKUP($N146,AF!$B$39:$M$80,R$9)*$H146</f>
        <v>0</v>
      </c>
      <c r="S146" s="1">
        <f>VLOOKUP($N146,AF!$B$39:$M$80,S$9)*$I146</f>
        <v>94154.21</v>
      </c>
      <c r="T146" s="1">
        <f>VLOOKUP($N146,AF!$B$39:$M$80,T$9)*$I146</f>
        <v>0</v>
      </c>
      <c r="U146" s="1">
        <f>VLOOKUP($N146,AF!$B$39:$M$80,U$9)*$J146</f>
        <v>0</v>
      </c>
      <c r="V146" s="1">
        <f>VLOOKUP($N146,AF!$B$39:$M$80,V$9)*$J146</f>
        <v>0</v>
      </c>
      <c r="W146" s="1">
        <f t="shared" si="189"/>
        <v>414738.88999999996</v>
      </c>
      <c r="Y146" s="1">
        <f t="shared" si="190"/>
        <v>120102.98812464713</v>
      </c>
      <c r="Z146" s="1">
        <f t="shared" si="191"/>
        <v>75633.821875352864</v>
      </c>
      <c r="AA146" s="1">
        <f t="shared" si="192"/>
        <v>610475.69999999995</v>
      </c>
      <c r="AB146" s="72">
        <f t="shared" si="193"/>
        <v>0</v>
      </c>
      <c r="AD146" s="72">
        <v>301</v>
      </c>
      <c r="AE146" s="1">
        <f>VLOOKUP($AD146,AF!$B$39:$M$80,AE$9)*$O146</f>
        <v>2041.332310280565</v>
      </c>
      <c r="AF146" s="1">
        <f>VLOOKUP($AD146,AF!$B$39:$M$80,AF$9)*$P146</f>
        <v>6844.8608797194338</v>
      </c>
      <c r="AG146" s="1">
        <f>VLOOKUP($AD146,AF!$B$39:$M$80,AG$9)*$Q146</f>
        <v>307.03210999999999</v>
      </c>
      <c r="AH146" s="1">
        <f>VLOOKUP($AD146,AF!$B$39:$M$80,AH$9)*$R146</f>
        <v>0</v>
      </c>
      <c r="AI146" s="1">
        <f>VLOOKUP($AD146,AF!$B$39:$M$80,AI$9)*$S146</f>
        <v>8520.956005</v>
      </c>
      <c r="AJ146" s="1">
        <f>VLOOKUP($AD146,AF!$B$39:$M$80,AJ$9)*$T146</f>
        <v>0</v>
      </c>
      <c r="AK146" s="1">
        <f>VLOOKUP($AD146,AF!$B$39:$M$80,AK$9)*$U146</f>
        <v>0</v>
      </c>
      <c r="AL146" s="1">
        <f>VLOOKUP($AD146,AF!$B$39:$M$80,AL$9)*$V146</f>
        <v>0</v>
      </c>
      <c r="AM146" s="1">
        <f t="shared" si="194"/>
        <v>592761.51869499998</v>
      </c>
      <c r="AO146" s="1">
        <f t="shared" si="195"/>
        <v>10869.320425280564</v>
      </c>
      <c r="AP146" s="1">
        <f t="shared" si="196"/>
        <v>6844.8608797194338</v>
      </c>
      <c r="AQ146" s="1">
        <f t="shared" si="197"/>
        <v>610475.69999999995</v>
      </c>
      <c r="AR146" s="72">
        <f t="shared" si="198"/>
        <v>0</v>
      </c>
    </row>
    <row r="147" spans="1:44" x14ac:dyDescent="0.45">
      <c r="A147" s="118">
        <f t="shared" si="186"/>
        <v>139</v>
      </c>
      <c r="B147" s="79">
        <v>583</v>
      </c>
      <c r="C147" s="37" t="s">
        <v>307</v>
      </c>
      <c r="D147" s="34" t="s">
        <v>308</v>
      </c>
      <c r="E147" s="25">
        <v>0</v>
      </c>
      <c r="F147" s="72">
        <v>101</v>
      </c>
      <c r="G147" s="1">
        <f>VLOOKUP($F147,AF!$B$39:$M$80,G$9)*$E147</f>
        <v>0</v>
      </c>
      <c r="H147" s="1">
        <f>VLOOKUP($F147,AF!$B$39:$M$80,H$9)*$E147</f>
        <v>0</v>
      </c>
      <c r="I147" s="1">
        <f>VLOOKUP($F147,AF!$B$39:$M$80,I$9)*$E147</f>
        <v>0</v>
      </c>
      <c r="J147" s="1">
        <f>VLOOKUP($F147,AF!$B$39:$M$80,J$9)*$E147</f>
        <v>0</v>
      </c>
      <c r="K147" s="1">
        <f t="shared" ref="K147" si="201">E147-SUM(G147:J147)</f>
        <v>0</v>
      </c>
      <c r="L147" s="72">
        <f t="shared" si="188"/>
        <v>0</v>
      </c>
      <c r="N147" s="8">
        <v>203</v>
      </c>
      <c r="O147" s="1">
        <f>VLOOKUP($N147,AF!$B$39:$M$80,O$9)*$G147</f>
        <v>0</v>
      </c>
      <c r="P147" s="1">
        <f>VLOOKUP($N147,AF!$B$39:$M$80,P$9)*$G147</f>
        <v>0</v>
      </c>
      <c r="Q147" s="1">
        <f>VLOOKUP($N147,AF!$B$39:$M$80,Q$9)*$H147</f>
        <v>0</v>
      </c>
      <c r="R147" s="1">
        <f>VLOOKUP($N147,AF!$B$39:$M$80,R$9)*$H147</f>
        <v>0</v>
      </c>
      <c r="S147" s="1">
        <f>VLOOKUP($N147,AF!$B$39:$M$80,S$9)*$I147</f>
        <v>0</v>
      </c>
      <c r="T147" s="1">
        <f>VLOOKUP($N147,AF!$B$39:$M$80,T$9)*$I147</f>
        <v>0</v>
      </c>
      <c r="U147" s="1">
        <f>VLOOKUP($N147,AF!$B$39:$M$80,U$9)*$J147</f>
        <v>0</v>
      </c>
      <c r="V147" s="1">
        <f>VLOOKUP($N147,AF!$B$39:$M$80,V$9)*$J147</f>
        <v>0</v>
      </c>
      <c r="W147" s="1">
        <f t="shared" si="189"/>
        <v>0</v>
      </c>
      <c r="Y147" s="1">
        <f t="shared" si="190"/>
        <v>0</v>
      </c>
      <c r="Z147" s="1">
        <f t="shared" si="191"/>
        <v>0</v>
      </c>
      <c r="AA147" s="1">
        <f t="shared" si="192"/>
        <v>0</v>
      </c>
      <c r="AB147" s="72">
        <f t="shared" si="193"/>
        <v>0</v>
      </c>
      <c r="AD147" s="72">
        <v>302</v>
      </c>
      <c r="AE147" s="1">
        <f>VLOOKUP($AD147,AF!$B$39:$M$80,AE$9)*$O147</f>
        <v>0</v>
      </c>
      <c r="AF147" s="1">
        <f>VLOOKUP($AD147,AF!$B$39:$M$80,AF$9)*$P147</f>
        <v>0</v>
      </c>
      <c r="AG147" s="1">
        <f>VLOOKUP($AD147,AF!$B$39:$M$80,AG$9)*$Q147</f>
        <v>0</v>
      </c>
      <c r="AH147" s="1">
        <f>VLOOKUP($AD147,AF!$B$39:$M$80,AH$9)*$R147</f>
        <v>0</v>
      </c>
      <c r="AI147" s="1">
        <f>VLOOKUP($AD147,AF!$B$39:$M$80,AI$9)*$S147</f>
        <v>0</v>
      </c>
      <c r="AJ147" s="1">
        <f>VLOOKUP($AD147,AF!$B$39:$M$80,AJ$9)*$T147</f>
        <v>0</v>
      </c>
      <c r="AK147" s="1">
        <f>VLOOKUP($AD147,AF!$B$39:$M$80,AK$9)*$U147</f>
        <v>0</v>
      </c>
      <c r="AL147" s="1">
        <f>VLOOKUP($AD147,AF!$B$39:$M$80,AL$9)*$V147</f>
        <v>0</v>
      </c>
      <c r="AM147" s="1">
        <f t="shared" si="194"/>
        <v>0</v>
      </c>
      <c r="AO147" s="1">
        <f t="shared" si="195"/>
        <v>0</v>
      </c>
      <c r="AP147" s="1">
        <f t="shared" si="196"/>
        <v>0</v>
      </c>
      <c r="AQ147" s="1">
        <f t="shared" si="197"/>
        <v>0</v>
      </c>
      <c r="AR147" s="72">
        <f t="shared" si="198"/>
        <v>0</v>
      </c>
    </row>
    <row r="148" spans="1:44" x14ac:dyDescent="0.45">
      <c r="A148" s="118">
        <f t="shared" si="186"/>
        <v>140</v>
      </c>
      <c r="B148" s="79" t="s">
        <v>631</v>
      </c>
      <c r="C148" s="79" t="s">
        <v>632</v>
      </c>
      <c r="D148" s="34"/>
      <c r="E148" s="17">
        <f>SUM(G148:K148)</f>
        <v>0</v>
      </c>
      <c r="F148" s="72">
        <v>100</v>
      </c>
      <c r="G148" s="25">
        <v>0</v>
      </c>
      <c r="H148" s="25">
        <v>0</v>
      </c>
      <c r="I148" s="25">
        <v>0</v>
      </c>
      <c r="J148" s="25">
        <v>0</v>
      </c>
      <c r="K148" s="25">
        <v>0</v>
      </c>
      <c r="L148" s="72">
        <f t="shared" si="188"/>
        <v>0</v>
      </c>
      <c r="N148" s="8">
        <v>203</v>
      </c>
      <c r="O148" s="1">
        <f>VLOOKUP($N148,AF!$B$39:$M$80,O$9)*$G148</f>
        <v>0</v>
      </c>
      <c r="P148" s="1">
        <f>VLOOKUP($N148,AF!$B$39:$M$80,P$9)*$G148</f>
        <v>0</v>
      </c>
      <c r="Q148" s="1">
        <f>VLOOKUP($N148,AF!$B$39:$M$80,Q$9)*$H148</f>
        <v>0</v>
      </c>
      <c r="R148" s="1">
        <f>VLOOKUP($N148,AF!$B$39:$M$80,R$9)*$H148</f>
        <v>0</v>
      </c>
      <c r="S148" s="1">
        <f>VLOOKUP($N148,AF!$B$39:$M$80,S$9)*$I148</f>
        <v>0</v>
      </c>
      <c r="T148" s="1">
        <f>VLOOKUP($N148,AF!$B$39:$M$80,T$9)*$I148</f>
        <v>0</v>
      </c>
      <c r="U148" s="1">
        <f>VLOOKUP($N148,AF!$B$39:$M$80,U$9)*$J148</f>
        <v>0</v>
      </c>
      <c r="V148" s="1">
        <f>VLOOKUP($N148,AF!$B$39:$M$80,V$9)*$J148</f>
        <v>0</v>
      </c>
      <c r="W148" s="1">
        <f t="shared" si="189"/>
        <v>0</v>
      </c>
      <c r="Y148" s="1">
        <f t="shared" si="190"/>
        <v>0</v>
      </c>
      <c r="Z148" s="1">
        <f t="shared" si="191"/>
        <v>0</v>
      </c>
      <c r="AA148" s="1">
        <f t="shared" si="192"/>
        <v>0</v>
      </c>
      <c r="AB148" s="72">
        <f t="shared" si="193"/>
        <v>0</v>
      </c>
      <c r="AD148" s="72">
        <v>302</v>
      </c>
      <c r="AE148" s="1">
        <f>VLOOKUP($AD148,AF!$B$39:$M$80,AE$9)*$O148</f>
        <v>0</v>
      </c>
      <c r="AF148" s="1">
        <f>VLOOKUP($AD148,AF!$B$39:$M$80,AF$9)*$P148</f>
        <v>0</v>
      </c>
      <c r="AG148" s="1">
        <f>VLOOKUP($AD148,AF!$B$39:$M$80,AG$9)*$Q148</f>
        <v>0</v>
      </c>
      <c r="AH148" s="1">
        <f>VLOOKUP($AD148,AF!$B$39:$M$80,AH$9)*$R148</f>
        <v>0</v>
      </c>
      <c r="AI148" s="1">
        <f>VLOOKUP($AD148,AF!$B$39:$M$80,AI$9)*$S148</f>
        <v>0</v>
      </c>
      <c r="AJ148" s="1">
        <f>VLOOKUP($AD148,AF!$B$39:$M$80,AJ$9)*$T148</f>
        <v>0</v>
      </c>
      <c r="AK148" s="1">
        <f>VLOOKUP($AD148,AF!$B$39:$M$80,AK$9)*$U148</f>
        <v>0</v>
      </c>
      <c r="AL148" s="1">
        <f>VLOOKUP($AD148,AF!$B$39:$M$80,AL$9)*$V148</f>
        <v>0</v>
      </c>
      <c r="AM148" s="1">
        <f t="shared" si="194"/>
        <v>0</v>
      </c>
      <c r="AO148" s="1">
        <f t="shared" si="195"/>
        <v>0</v>
      </c>
      <c r="AP148" s="1">
        <f t="shared" si="196"/>
        <v>0</v>
      </c>
      <c r="AQ148" s="1">
        <f t="shared" si="197"/>
        <v>0</v>
      </c>
      <c r="AR148" s="72">
        <f t="shared" si="198"/>
        <v>0</v>
      </c>
    </row>
    <row r="149" spans="1:44" x14ac:dyDescent="0.45">
      <c r="A149" s="118">
        <f t="shared" si="186"/>
        <v>141</v>
      </c>
      <c r="B149" s="79">
        <v>584</v>
      </c>
      <c r="C149" s="37" t="s">
        <v>309</v>
      </c>
      <c r="D149" s="34" t="s">
        <v>310</v>
      </c>
      <c r="E149" s="25">
        <v>0</v>
      </c>
      <c r="F149" s="72">
        <v>101</v>
      </c>
      <c r="G149" s="1">
        <f>VLOOKUP($F149,AF!$B$39:$M$80,G$9)*$E149</f>
        <v>0</v>
      </c>
      <c r="H149" s="1">
        <f>VLOOKUP($F149,AF!$B$39:$M$80,H$9)*$E149</f>
        <v>0</v>
      </c>
      <c r="I149" s="1">
        <f>VLOOKUP($F149,AF!$B$39:$M$80,I$9)*$E149</f>
        <v>0</v>
      </c>
      <c r="J149" s="1">
        <f>VLOOKUP($F149,AF!$B$39:$M$80,J$9)*$E149</f>
        <v>0</v>
      </c>
      <c r="K149" s="1">
        <f t="shared" ref="K149" si="202">E149-SUM(G149:J149)</f>
        <v>0</v>
      </c>
      <c r="L149" s="72">
        <f t="shared" si="188"/>
        <v>0</v>
      </c>
      <c r="N149" s="8">
        <v>203</v>
      </c>
      <c r="O149" s="1">
        <f>VLOOKUP($N149,AF!$B$39:$M$80,O$9)*$G149</f>
        <v>0</v>
      </c>
      <c r="P149" s="1">
        <f>VLOOKUP($N149,AF!$B$39:$M$80,P$9)*$G149</f>
        <v>0</v>
      </c>
      <c r="Q149" s="1">
        <f>VLOOKUP($N149,AF!$B$39:$M$80,Q$9)*$H149</f>
        <v>0</v>
      </c>
      <c r="R149" s="1">
        <f>VLOOKUP($N149,AF!$B$39:$M$80,R$9)*$H149</f>
        <v>0</v>
      </c>
      <c r="S149" s="1">
        <f>VLOOKUP($N149,AF!$B$39:$M$80,S$9)*$I149</f>
        <v>0</v>
      </c>
      <c r="T149" s="1">
        <f>VLOOKUP($N149,AF!$B$39:$M$80,T$9)*$I149</f>
        <v>0</v>
      </c>
      <c r="U149" s="1">
        <f>VLOOKUP($N149,AF!$B$39:$M$80,U$9)*$J149</f>
        <v>0</v>
      </c>
      <c r="V149" s="1">
        <f>VLOOKUP($N149,AF!$B$39:$M$80,V$9)*$J149</f>
        <v>0</v>
      </c>
      <c r="W149" s="1">
        <f t="shared" si="189"/>
        <v>0</v>
      </c>
      <c r="Y149" s="1">
        <f t="shared" si="190"/>
        <v>0</v>
      </c>
      <c r="Z149" s="1">
        <f t="shared" si="191"/>
        <v>0</v>
      </c>
      <c r="AA149" s="1">
        <f t="shared" si="192"/>
        <v>0</v>
      </c>
      <c r="AB149" s="72">
        <f t="shared" si="193"/>
        <v>0</v>
      </c>
      <c r="AD149" s="72">
        <v>302</v>
      </c>
      <c r="AE149" s="1">
        <f>VLOOKUP($AD149,AF!$B$39:$M$80,AE$9)*$O149</f>
        <v>0</v>
      </c>
      <c r="AF149" s="1">
        <f>VLOOKUP($AD149,AF!$B$39:$M$80,AF$9)*$P149</f>
        <v>0</v>
      </c>
      <c r="AG149" s="1">
        <f>VLOOKUP($AD149,AF!$B$39:$M$80,AG$9)*$Q149</f>
        <v>0</v>
      </c>
      <c r="AH149" s="1">
        <f>VLOOKUP($AD149,AF!$B$39:$M$80,AH$9)*$R149</f>
        <v>0</v>
      </c>
      <c r="AI149" s="1">
        <f>VLOOKUP($AD149,AF!$B$39:$M$80,AI$9)*$S149</f>
        <v>0</v>
      </c>
      <c r="AJ149" s="1">
        <f>VLOOKUP($AD149,AF!$B$39:$M$80,AJ$9)*$T149</f>
        <v>0</v>
      </c>
      <c r="AK149" s="1">
        <f>VLOOKUP($AD149,AF!$B$39:$M$80,AK$9)*$U149</f>
        <v>0</v>
      </c>
      <c r="AL149" s="1">
        <f>VLOOKUP($AD149,AF!$B$39:$M$80,AL$9)*$V149</f>
        <v>0</v>
      </c>
      <c r="AM149" s="1">
        <f t="shared" si="194"/>
        <v>0</v>
      </c>
      <c r="AO149" s="1">
        <f t="shared" si="195"/>
        <v>0</v>
      </c>
      <c r="AP149" s="1">
        <f t="shared" si="196"/>
        <v>0</v>
      </c>
      <c r="AQ149" s="1">
        <f t="shared" si="197"/>
        <v>0</v>
      </c>
      <c r="AR149" s="72">
        <f t="shared" si="198"/>
        <v>0</v>
      </c>
    </row>
    <row r="150" spans="1:44" x14ac:dyDescent="0.45">
      <c r="A150" s="118">
        <f t="shared" si="186"/>
        <v>142</v>
      </c>
      <c r="B150" s="79" t="s">
        <v>633</v>
      </c>
      <c r="C150" s="79" t="s">
        <v>634</v>
      </c>
      <c r="D150" s="34"/>
      <c r="E150" s="17">
        <f>SUM(G150:K150)</f>
        <v>0</v>
      </c>
      <c r="F150" s="72">
        <v>100</v>
      </c>
      <c r="G150" s="25">
        <v>0</v>
      </c>
      <c r="H150" s="25">
        <v>0</v>
      </c>
      <c r="I150" s="25">
        <v>0</v>
      </c>
      <c r="J150" s="25">
        <v>0</v>
      </c>
      <c r="K150" s="25">
        <v>0</v>
      </c>
      <c r="L150" s="72">
        <f t="shared" si="188"/>
        <v>0</v>
      </c>
      <c r="N150" s="8">
        <v>203</v>
      </c>
      <c r="O150" s="1">
        <f>VLOOKUP($N150,AF!$B$39:$M$80,O$9)*$G150</f>
        <v>0</v>
      </c>
      <c r="P150" s="1">
        <f>VLOOKUP($N150,AF!$B$39:$M$80,P$9)*$G150</f>
        <v>0</v>
      </c>
      <c r="Q150" s="1">
        <f>VLOOKUP($N150,AF!$B$39:$M$80,Q$9)*$H150</f>
        <v>0</v>
      </c>
      <c r="R150" s="1">
        <f>VLOOKUP($N150,AF!$B$39:$M$80,R$9)*$H150</f>
        <v>0</v>
      </c>
      <c r="S150" s="1">
        <f>VLOOKUP($N150,AF!$B$39:$M$80,S$9)*$I150</f>
        <v>0</v>
      </c>
      <c r="T150" s="1">
        <f>VLOOKUP($N150,AF!$B$39:$M$80,T$9)*$I150</f>
        <v>0</v>
      </c>
      <c r="U150" s="1">
        <f>VLOOKUP($N150,AF!$B$39:$M$80,U$9)*$J150</f>
        <v>0</v>
      </c>
      <c r="V150" s="1">
        <f>VLOOKUP($N150,AF!$B$39:$M$80,V$9)*$J150</f>
        <v>0</v>
      </c>
      <c r="W150" s="1">
        <f t="shared" si="189"/>
        <v>0</v>
      </c>
      <c r="Y150" s="1">
        <f t="shared" si="190"/>
        <v>0</v>
      </c>
      <c r="Z150" s="1">
        <f t="shared" si="191"/>
        <v>0</v>
      </c>
      <c r="AA150" s="1">
        <f t="shared" si="192"/>
        <v>0</v>
      </c>
      <c r="AB150" s="72">
        <f t="shared" si="193"/>
        <v>0</v>
      </c>
      <c r="AD150" s="72">
        <v>302</v>
      </c>
      <c r="AE150" s="1">
        <f>VLOOKUP($AD150,AF!$B$39:$M$80,AE$9)*$O150</f>
        <v>0</v>
      </c>
      <c r="AF150" s="1">
        <f>VLOOKUP($AD150,AF!$B$39:$M$80,AF$9)*$P150</f>
        <v>0</v>
      </c>
      <c r="AG150" s="1">
        <f>VLOOKUP($AD150,AF!$B$39:$M$80,AG$9)*$Q150</f>
        <v>0</v>
      </c>
      <c r="AH150" s="1">
        <f>VLOOKUP($AD150,AF!$B$39:$M$80,AH$9)*$R150</f>
        <v>0</v>
      </c>
      <c r="AI150" s="1">
        <f>VLOOKUP($AD150,AF!$B$39:$M$80,AI$9)*$S150</f>
        <v>0</v>
      </c>
      <c r="AJ150" s="1">
        <f>VLOOKUP($AD150,AF!$B$39:$M$80,AJ$9)*$T150</f>
        <v>0</v>
      </c>
      <c r="AK150" s="1">
        <f>VLOOKUP($AD150,AF!$B$39:$M$80,AK$9)*$U150</f>
        <v>0</v>
      </c>
      <c r="AL150" s="1">
        <f>VLOOKUP($AD150,AF!$B$39:$M$80,AL$9)*$V150</f>
        <v>0</v>
      </c>
      <c r="AM150" s="1">
        <f t="shared" si="194"/>
        <v>0</v>
      </c>
      <c r="AO150" s="1">
        <f t="shared" si="195"/>
        <v>0</v>
      </c>
      <c r="AP150" s="1">
        <f t="shared" si="196"/>
        <v>0</v>
      </c>
      <c r="AQ150" s="1">
        <f t="shared" si="197"/>
        <v>0</v>
      </c>
      <c r="AR150" s="72">
        <f t="shared" si="198"/>
        <v>0</v>
      </c>
    </row>
    <row r="151" spans="1:44" x14ac:dyDescent="0.45">
      <c r="A151" s="118">
        <f t="shared" si="186"/>
        <v>143</v>
      </c>
      <c r="B151" s="79">
        <v>585</v>
      </c>
      <c r="C151" s="37" t="s">
        <v>311</v>
      </c>
      <c r="D151" s="34" t="s">
        <v>312</v>
      </c>
      <c r="E151" s="25">
        <v>0</v>
      </c>
      <c r="F151" s="72">
        <v>101</v>
      </c>
      <c r="G151" s="1">
        <f>VLOOKUP($F151,AF!$B$39:$M$80,G$9)*$E151</f>
        <v>0</v>
      </c>
      <c r="H151" s="1">
        <f>VLOOKUP($F151,AF!$B$39:$M$80,H$9)*$E151</f>
        <v>0</v>
      </c>
      <c r="I151" s="1">
        <f>VLOOKUP($F151,AF!$B$39:$M$80,I$9)*$E151</f>
        <v>0</v>
      </c>
      <c r="J151" s="1">
        <f>VLOOKUP($F151,AF!$B$39:$M$80,J$9)*$E151</f>
        <v>0</v>
      </c>
      <c r="K151" s="1">
        <f t="shared" ref="K151:K152" si="203">E151-SUM(G151:J151)</f>
        <v>0</v>
      </c>
      <c r="L151" s="72">
        <f t="shared" si="188"/>
        <v>0</v>
      </c>
      <c r="N151" s="8">
        <v>203</v>
      </c>
      <c r="O151" s="1">
        <f>VLOOKUP($N151,AF!$B$39:$M$80,O$9)*$G151</f>
        <v>0</v>
      </c>
      <c r="P151" s="1">
        <f>VLOOKUP($N151,AF!$B$39:$M$80,P$9)*$G151</f>
        <v>0</v>
      </c>
      <c r="Q151" s="1">
        <f>VLOOKUP($N151,AF!$B$39:$M$80,Q$9)*$H151</f>
        <v>0</v>
      </c>
      <c r="R151" s="1">
        <f>VLOOKUP($N151,AF!$B$39:$M$80,R$9)*$H151</f>
        <v>0</v>
      </c>
      <c r="S151" s="1">
        <f>VLOOKUP($N151,AF!$B$39:$M$80,S$9)*$I151</f>
        <v>0</v>
      </c>
      <c r="T151" s="1">
        <f>VLOOKUP($N151,AF!$B$39:$M$80,T$9)*$I151</f>
        <v>0</v>
      </c>
      <c r="U151" s="1">
        <f>VLOOKUP($N151,AF!$B$39:$M$80,U$9)*$J151</f>
        <v>0</v>
      </c>
      <c r="V151" s="1">
        <f>VLOOKUP($N151,AF!$B$39:$M$80,V$9)*$J151</f>
        <v>0</v>
      </c>
      <c r="W151" s="1">
        <f t="shared" si="189"/>
        <v>0</v>
      </c>
      <c r="Y151" s="1">
        <f t="shared" si="190"/>
        <v>0</v>
      </c>
      <c r="Z151" s="1">
        <f t="shared" si="191"/>
        <v>0</v>
      </c>
      <c r="AA151" s="1">
        <f t="shared" si="192"/>
        <v>0</v>
      </c>
      <c r="AB151" s="72">
        <f t="shared" si="193"/>
        <v>0</v>
      </c>
      <c r="AD151" s="72">
        <v>302</v>
      </c>
      <c r="AE151" s="1">
        <f>VLOOKUP($AD151,AF!$B$39:$M$80,AE$9)*$O151</f>
        <v>0</v>
      </c>
      <c r="AF151" s="1">
        <f>VLOOKUP($AD151,AF!$B$39:$M$80,AF$9)*$P151</f>
        <v>0</v>
      </c>
      <c r="AG151" s="1">
        <f>VLOOKUP($AD151,AF!$B$39:$M$80,AG$9)*$Q151</f>
        <v>0</v>
      </c>
      <c r="AH151" s="1">
        <f>VLOOKUP($AD151,AF!$B$39:$M$80,AH$9)*$R151</f>
        <v>0</v>
      </c>
      <c r="AI151" s="1">
        <f>VLOOKUP($AD151,AF!$B$39:$M$80,AI$9)*$S151</f>
        <v>0</v>
      </c>
      <c r="AJ151" s="1">
        <f>VLOOKUP($AD151,AF!$B$39:$M$80,AJ$9)*$T151</f>
        <v>0</v>
      </c>
      <c r="AK151" s="1">
        <f>VLOOKUP($AD151,AF!$B$39:$M$80,AK$9)*$U151</f>
        <v>0</v>
      </c>
      <c r="AL151" s="1">
        <f>VLOOKUP($AD151,AF!$B$39:$M$80,AL$9)*$V151</f>
        <v>0</v>
      </c>
      <c r="AM151" s="1">
        <f t="shared" si="194"/>
        <v>0</v>
      </c>
      <c r="AO151" s="1">
        <f t="shared" si="195"/>
        <v>0</v>
      </c>
      <c r="AP151" s="1">
        <f t="shared" si="196"/>
        <v>0</v>
      </c>
      <c r="AQ151" s="1">
        <f t="shared" si="197"/>
        <v>0</v>
      </c>
      <c r="AR151" s="72">
        <f t="shared" si="198"/>
        <v>0</v>
      </c>
    </row>
    <row r="152" spans="1:44" x14ac:dyDescent="0.45">
      <c r="A152" s="118">
        <f t="shared" si="186"/>
        <v>144</v>
      </c>
      <c r="B152" s="57">
        <v>586</v>
      </c>
      <c r="C152" s="34" t="s">
        <v>51</v>
      </c>
      <c r="D152" s="34" t="s">
        <v>52</v>
      </c>
      <c r="E152" s="28">
        <v>0</v>
      </c>
      <c r="F152" s="8">
        <v>101</v>
      </c>
      <c r="G152" s="1">
        <f>VLOOKUP($F152,AF!$B$39:$M$80,G$9)*$E152</f>
        <v>0</v>
      </c>
      <c r="H152" s="1">
        <f>VLOOKUP($F152,AF!$B$39:$M$80,H$9)*$E152</f>
        <v>0</v>
      </c>
      <c r="I152" s="1">
        <f>VLOOKUP($F152,AF!$B$39:$M$80,I$9)*$E152</f>
        <v>0</v>
      </c>
      <c r="J152" s="1">
        <f>VLOOKUP($F152,AF!$B$39:$M$80,J$9)*$E152</f>
        <v>0</v>
      </c>
      <c r="K152" s="1">
        <f t="shared" si="203"/>
        <v>0</v>
      </c>
      <c r="L152" s="72">
        <f t="shared" si="188"/>
        <v>0</v>
      </c>
      <c r="N152" s="8">
        <v>206</v>
      </c>
      <c r="O152" s="1">
        <f>VLOOKUP($N152,AF!$B$39:$M$80,O$9)*$G152</f>
        <v>0</v>
      </c>
      <c r="P152" s="1">
        <f>VLOOKUP($N152,AF!$B$39:$M$80,P$9)*$G152</f>
        <v>0</v>
      </c>
      <c r="Q152" s="1">
        <f>VLOOKUP($N152,AF!$B$39:$M$80,Q$9)*$H152</f>
        <v>0</v>
      </c>
      <c r="R152" s="1">
        <f>VLOOKUP($N152,AF!$B$39:$M$80,R$9)*$H152</f>
        <v>0</v>
      </c>
      <c r="S152" s="1">
        <f>VLOOKUP($N152,AF!$B$39:$M$80,S$9)*$I152</f>
        <v>0</v>
      </c>
      <c r="T152" s="1">
        <f>VLOOKUP($N152,AF!$B$39:$M$80,T$9)*$I152</f>
        <v>0</v>
      </c>
      <c r="U152" s="1">
        <f>VLOOKUP($N152,AF!$B$39:$M$80,U$9)*$J152</f>
        <v>0</v>
      </c>
      <c r="V152" s="1">
        <f>VLOOKUP($N152,AF!$B$39:$M$80,V$9)*$J152</f>
        <v>0</v>
      </c>
      <c r="W152" s="1">
        <f t="shared" si="189"/>
        <v>0</v>
      </c>
      <c r="Y152" s="1">
        <f t="shared" si="190"/>
        <v>0</v>
      </c>
      <c r="Z152" s="1">
        <f t="shared" si="191"/>
        <v>0</v>
      </c>
      <c r="AA152" s="1">
        <f t="shared" si="192"/>
        <v>0</v>
      </c>
      <c r="AB152" s="72">
        <f t="shared" si="193"/>
        <v>0</v>
      </c>
      <c r="AD152" s="72">
        <v>302</v>
      </c>
      <c r="AE152" s="1">
        <f>VLOOKUP($AD152,AF!$B$39:$M$80,AE$9)*$O152</f>
        <v>0</v>
      </c>
      <c r="AF152" s="1">
        <f>VLOOKUP($AD152,AF!$B$39:$M$80,AF$9)*$P152</f>
        <v>0</v>
      </c>
      <c r="AG152" s="1">
        <f>VLOOKUP($AD152,AF!$B$39:$M$80,AG$9)*$Q152</f>
        <v>0</v>
      </c>
      <c r="AH152" s="1">
        <f>VLOOKUP($AD152,AF!$B$39:$M$80,AH$9)*$R152</f>
        <v>0</v>
      </c>
      <c r="AI152" s="1">
        <f>VLOOKUP($AD152,AF!$B$39:$M$80,AI$9)*$S152</f>
        <v>0</v>
      </c>
      <c r="AJ152" s="1">
        <f>VLOOKUP($AD152,AF!$B$39:$M$80,AJ$9)*$T152</f>
        <v>0</v>
      </c>
      <c r="AK152" s="1">
        <f>VLOOKUP($AD152,AF!$B$39:$M$80,AK$9)*$U152</f>
        <v>0</v>
      </c>
      <c r="AL152" s="1">
        <f>VLOOKUP($AD152,AF!$B$39:$M$80,AL$9)*$V152</f>
        <v>0</v>
      </c>
      <c r="AM152" s="1">
        <f t="shared" si="194"/>
        <v>0</v>
      </c>
      <c r="AO152" s="1">
        <f t="shared" si="195"/>
        <v>0</v>
      </c>
      <c r="AP152" s="1">
        <f t="shared" si="196"/>
        <v>0</v>
      </c>
      <c r="AQ152" s="1">
        <f t="shared" si="197"/>
        <v>0</v>
      </c>
      <c r="AR152" s="72">
        <f t="shared" si="198"/>
        <v>0</v>
      </c>
    </row>
    <row r="153" spans="1:44" x14ac:dyDescent="0.45">
      <c r="A153" s="118">
        <f t="shared" si="186"/>
        <v>145</v>
      </c>
      <c r="B153" s="57">
        <v>587</v>
      </c>
      <c r="C153" s="34" t="s">
        <v>313</v>
      </c>
      <c r="D153" s="34" t="s">
        <v>314</v>
      </c>
      <c r="E153" s="25">
        <v>0</v>
      </c>
      <c r="F153" s="72">
        <v>101</v>
      </c>
      <c r="G153" s="1">
        <f>VLOOKUP($F153,AF!$B$39:$M$80,G$9)*$E153</f>
        <v>0</v>
      </c>
      <c r="H153" s="1">
        <f>VLOOKUP($F153,AF!$B$39:$M$80,H$9)*$E153</f>
        <v>0</v>
      </c>
      <c r="I153" s="1">
        <f>VLOOKUP($F153,AF!$B$39:$M$80,I$9)*$E153</f>
        <v>0</v>
      </c>
      <c r="J153" s="1">
        <f>VLOOKUP($F153,AF!$B$39:$M$80,J$9)*$E153</f>
        <v>0</v>
      </c>
      <c r="K153" s="1">
        <f t="shared" ref="K153:K155" si="204">E153-SUM(G153:J153)</f>
        <v>0</v>
      </c>
      <c r="L153" s="72">
        <f t="shared" si="188"/>
        <v>0</v>
      </c>
      <c r="N153" s="8">
        <v>203</v>
      </c>
      <c r="O153" s="1">
        <f>VLOOKUP($N153,AF!$B$39:$M$80,O$9)*$G153</f>
        <v>0</v>
      </c>
      <c r="P153" s="1">
        <f>VLOOKUP($N153,AF!$B$39:$M$80,P$9)*$G153</f>
        <v>0</v>
      </c>
      <c r="Q153" s="1">
        <f>VLOOKUP($N153,AF!$B$39:$M$80,Q$9)*$H153</f>
        <v>0</v>
      </c>
      <c r="R153" s="1">
        <f>VLOOKUP($N153,AF!$B$39:$M$80,R$9)*$H153</f>
        <v>0</v>
      </c>
      <c r="S153" s="1">
        <f>VLOOKUP($N153,AF!$B$39:$M$80,S$9)*$I153</f>
        <v>0</v>
      </c>
      <c r="T153" s="1">
        <f>VLOOKUP($N153,AF!$B$39:$M$80,T$9)*$I153</f>
        <v>0</v>
      </c>
      <c r="U153" s="1">
        <f>VLOOKUP($N153,AF!$B$39:$M$80,U$9)*$J153</f>
        <v>0</v>
      </c>
      <c r="V153" s="1">
        <f>VLOOKUP($N153,AF!$B$39:$M$80,V$9)*$J153</f>
        <v>0</v>
      </c>
      <c r="W153" s="1">
        <f t="shared" si="189"/>
        <v>0</v>
      </c>
      <c r="Y153" s="1">
        <f t="shared" si="190"/>
        <v>0</v>
      </c>
      <c r="Z153" s="1">
        <f t="shared" si="191"/>
        <v>0</v>
      </c>
      <c r="AA153" s="1">
        <f t="shared" si="192"/>
        <v>0</v>
      </c>
      <c r="AB153" s="72">
        <f t="shared" si="193"/>
        <v>0</v>
      </c>
      <c r="AD153" s="72">
        <v>302</v>
      </c>
      <c r="AE153" s="1">
        <f>VLOOKUP($AD153,AF!$B$39:$M$80,AE$9)*$O153</f>
        <v>0</v>
      </c>
      <c r="AF153" s="1">
        <f>VLOOKUP($AD153,AF!$B$39:$M$80,AF$9)*$P153</f>
        <v>0</v>
      </c>
      <c r="AG153" s="1">
        <f>VLOOKUP($AD153,AF!$B$39:$M$80,AG$9)*$Q153</f>
        <v>0</v>
      </c>
      <c r="AH153" s="1">
        <f>VLOOKUP($AD153,AF!$B$39:$M$80,AH$9)*$R153</f>
        <v>0</v>
      </c>
      <c r="AI153" s="1">
        <f>VLOOKUP($AD153,AF!$B$39:$M$80,AI$9)*$S153</f>
        <v>0</v>
      </c>
      <c r="AJ153" s="1">
        <f>VLOOKUP($AD153,AF!$B$39:$M$80,AJ$9)*$T153</f>
        <v>0</v>
      </c>
      <c r="AK153" s="1">
        <f>VLOOKUP($AD153,AF!$B$39:$M$80,AK$9)*$U153</f>
        <v>0</v>
      </c>
      <c r="AL153" s="1">
        <f>VLOOKUP($AD153,AF!$B$39:$M$80,AL$9)*$V153</f>
        <v>0</v>
      </c>
      <c r="AM153" s="1">
        <f t="shared" si="194"/>
        <v>0</v>
      </c>
      <c r="AO153" s="1">
        <f t="shared" si="195"/>
        <v>0</v>
      </c>
      <c r="AP153" s="1">
        <f t="shared" si="196"/>
        <v>0</v>
      </c>
      <c r="AQ153" s="1">
        <f t="shared" si="197"/>
        <v>0</v>
      </c>
      <c r="AR153" s="72">
        <f t="shared" si="198"/>
        <v>0</v>
      </c>
    </row>
    <row r="154" spans="1:44" x14ac:dyDescent="0.45">
      <c r="A154" s="118">
        <f t="shared" si="186"/>
        <v>146</v>
      </c>
      <c r="B154" s="57">
        <v>588</v>
      </c>
      <c r="C154" s="34" t="s">
        <v>315</v>
      </c>
      <c r="D154" s="34" t="s">
        <v>316</v>
      </c>
      <c r="E154" s="25">
        <v>0</v>
      </c>
      <c r="F154" s="72">
        <v>101</v>
      </c>
      <c r="G154" s="1">
        <f>VLOOKUP($F154,AF!$B$39:$M$80,G$9)*$E154</f>
        <v>0</v>
      </c>
      <c r="H154" s="1">
        <f>VLOOKUP($F154,AF!$B$39:$M$80,H$9)*$E154</f>
        <v>0</v>
      </c>
      <c r="I154" s="1">
        <f>VLOOKUP($F154,AF!$B$39:$M$80,I$9)*$E154</f>
        <v>0</v>
      </c>
      <c r="J154" s="1">
        <f>VLOOKUP($F154,AF!$B$39:$M$80,J$9)*$E154</f>
        <v>0</v>
      </c>
      <c r="K154" s="1">
        <f t="shared" si="204"/>
        <v>0</v>
      </c>
      <c r="L154" s="72">
        <f t="shared" si="188"/>
        <v>0</v>
      </c>
      <c r="N154" s="8">
        <v>203</v>
      </c>
      <c r="O154" s="1">
        <f>VLOOKUP($N154,AF!$B$39:$M$80,O$9)*$G154</f>
        <v>0</v>
      </c>
      <c r="P154" s="1">
        <f>VLOOKUP($N154,AF!$B$39:$M$80,P$9)*$G154</f>
        <v>0</v>
      </c>
      <c r="Q154" s="1">
        <f>VLOOKUP($N154,AF!$B$39:$M$80,Q$9)*$H154</f>
        <v>0</v>
      </c>
      <c r="R154" s="1">
        <f>VLOOKUP($N154,AF!$B$39:$M$80,R$9)*$H154</f>
        <v>0</v>
      </c>
      <c r="S154" s="1">
        <f>VLOOKUP($N154,AF!$B$39:$M$80,S$9)*$I154</f>
        <v>0</v>
      </c>
      <c r="T154" s="1">
        <f>VLOOKUP($N154,AF!$B$39:$M$80,T$9)*$I154</f>
        <v>0</v>
      </c>
      <c r="U154" s="1">
        <f>VLOOKUP($N154,AF!$B$39:$M$80,U$9)*$J154</f>
        <v>0</v>
      </c>
      <c r="V154" s="1">
        <f>VLOOKUP($N154,AF!$B$39:$M$80,V$9)*$J154</f>
        <v>0</v>
      </c>
      <c r="W154" s="1">
        <f t="shared" si="189"/>
        <v>0</v>
      </c>
      <c r="Y154" s="1">
        <f t="shared" si="190"/>
        <v>0</v>
      </c>
      <c r="Z154" s="1">
        <f t="shared" si="191"/>
        <v>0</v>
      </c>
      <c r="AA154" s="1">
        <f t="shared" si="192"/>
        <v>0</v>
      </c>
      <c r="AB154" s="72">
        <f t="shared" si="193"/>
        <v>0</v>
      </c>
      <c r="AD154" s="72">
        <v>302</v>
      </c>
      <c r="AE154" s="1">
        <f>VLOOKUP($AD154,AF!$B$39:$M$80,AE$9)*$O154</f>
        <v>0</v>
      </c>
      <c r="AF154" s="1">
        <f>VLOOKUP($AD154,AF!$B$39:$M$80,AF$9)*$P154</f>
        <v>0</v>
      </c>
      <c r="AG154" s="1">
        <f>VLOOKUP($AD154,AF!$B$39:$M$80,AG$9)*$Q154</f>
        <v>0</v>
      </c>
      <c r="AH154" s="1">
        <f>VLOOKUP($AD154,AF!$B$39:$M$80,AH$9)*$R154</f>
        <v>0</v>
      </c>
      <c r="AI154" s="1">
        <f>VLOOKUP($AD154,AF!$B$39:$M$80,AI$9)*$S154</f>
        <v>0</v>
      </c>
      <c r="AJ154" s="1">
        <f>VLOOKUP($AD154,AF!$B$39:$M$80,AJ$9)*$T154</f>
        <v>0</v>
      </c>
      <c r="AK154" s="1">
        <f>VLOOKUP($AD154,AF!$B$39:$M$80,AK$9)*$U154</f>
        <v>0</v>
      </c>
      <c r="AL154" s="1">
        <f>VLOOKUP($AD154,AF!$B$39:$M$80,AL$9)*$V154</f>
        <v>0</v>
      </c>
      <c r="AM154" s="1">
        <f t="shared" si="194"/>
        <v>0</v>
      </c>
      <c r="AO154" s="1">
        <f t="shared" si="195"/>
        <v>0</v>
      </c>
      <c r="AP154" s="1">
        <f t="shared" si="196"/>
        <v>0</v>
      </c>
      <c r="AQ154" s="1">
        <f t="shared" si="197"/>
        <v>0</v>
      </c>
      <c r="AR154" s="72">
        <f t="shared" si="198"/>
        <v>0</v>
      </c>
    </row>
    <row r="155" spans="1:44" x14ac:dyDescent="0.45">
      <c r="A155" s="118">
        <f t="shared" si="186"/>
        <v>147</v>
      </c>
      <c r="B155" s="57">
        <v>589</v>
      </c>
      <c r="C155" s="34" t="s">
        <v>61</v>
      </c>
      <c r="D155" s="34" t="s">
        <v>317</v>
      </c>
      <c r="E155" s="25">
        <v>0</v>
      </c>
      <c r="F155" s="72">
        <v>101</v>
      </c>
      <c r="G155" s="1">
        <f>VLOOKUP($F155,AF!$B$39:$M$80,G$9)*$E155</f>
        <v>0</v>
      </c>
      <c r="H155" s="1">
        <f>VLOOKUP($F155,AF!$B$39:$M$80,H$9)*$E155</f>
        <v>0</v>
      </c>
      <c r="I155" s="1">
        <f>VLOOKUP($F155,AF!$B$39:$M$80,I$9)*$E155</f>
        <v>0</v>
      </c>
      <c r="J155" s="1">
        <f>VLOOKUP($F155,AF!$B$39:$M$80,J$9)*$E155</f>
        <v>0</v>
      </c>
      <c r="K155" s="1">
        <f t="shared" si="204"/>
        <v>0</v>
      </c>
      <c r="L155" s="72">
        <f t="shared" si="188"/>
        <v>0</v>
      </c>
      <c r="N155" s="8">
        <v>203</v>
      </c>
      <c r="O155" s="1">
        <f>VLOOKUP($N155,AF!$B$39:$M$80,O$9)*$G155</f>
        <v>0</v>
      </c>
      <c r="P155" s="1">
        <f>VLOOKUP($N155,AF!$B$39:$M$80,P$9)*$G155</f>
        <v>0</v>
      </c>
      <c r="Q155" s="1">
        <f>VLOOKUP($N155,AF!$B$39:$M$80,Q$9)*$H155</f>
        <v>0</v>
      </c>
      <c r="R155" s="1">
        <f>VLOOKUP($N155,AF!$B$39:$M$80,R$9)*$H155</f>
        <v>0</v>
      </c>
      <c r="S155" s="1">
        <f>VLOOKUP($N155,AF!$B$39:$M$80,S$9)*$I155</f>
        <v>0</v>
      </c>
      <c r="T155" s="1">
        <f>VLOOKUP($N155,AF!$B$39:$M$80,T$9)*$I155</f>
        <v>0</v>
      </c>
      <c r="U155" s="1">
        <f>VLOOKUP($N155,AF!$B$39:$M$80,U$9)*$J155</f>
        <v>0</v>
      </c>
      <c r="V155" s="1">
        <f>VLOOKUP($N155,AF!$B$39:$M$80,V$9)*$J155</f>
        <v>0</v>
      </c>
      <c r="W155" s="1">
        <f t="shared" si="189"/>
        <v>0</v>
      </c>
      <c r="Y155" s="1">
        <f t="shared" si="190"/>
        <v>0</v>
      </c>
      <c r="Z155" s="1">
        <f t="shared" si="191"/>
        <v>0</v>
      </c>
      <c r="AA155" s="1">
        <f t="shared" si="192"/>
        <v>0</v>
      </c>
      <c r="AB155" s="72">
        <f t="shared" si="193"/>
        <v>0</v>
      </c>
      <c r="AD155" s="72">
        <v>302</v>
      </c>
      <c r="AE155" s="1">
        <f>VLOOKUP($AD155,AF!$B$39:$M$80,AE$9)*$O155</f>
        <v>0</v>
      </c>
      <c r="AF155" s="1">
        <f>VLOOKUP($AD155,AF!$B$39:$M$80,AF$9)*$P155</f>
        <v>0</v>
      </c>
      <c r="AG155" s="1">
        <f>VLOOKUP($AD155,AF!$B$39:$M$80,AG$9)*$Q155</f>
        <v>0</v>
      </c>
      <c r="AH155" s="1">
        <f>VLOOKUP($AD155,AF!$B$39:$M$80,AH$9)*$R155</f>
        <v>0</v>
      </c>
      <c r="AI155" s="1">
        <f>VLOOKUP($AD155,AF!$B$39:$M$80,AI$9)*$S155</f>
        <v>0</v>
      </c>
      <c r="AJ155" s="1">
        <f>VLOOKUP($AD155,AF!$B$39:$M$80,AJ$9)*$T155</f>
        <v>0</v>
      </c>
      <c r="AK155" s="1">
        <f>VLOOKUP($AD155,AF!$B$39:$M$80,AK$9)*$U155</f>
        <v>0</v>
      </c>
      <c r="AL155" s="1">
        <f>VLOOKUP($AD155,AF!$B$39:$M$80,AL$9)*$V155</f>
        <v>0</v>
      </c>
      <c r="AM155" s="1">
        <f t="shared" si="194"/>
        <v>0</v>
      </c>
      <c r="AO155" s="1">
        <f t="shared" si="195"/>
        <v>0</v>
      </c>
      <c r="AP155" s="1">
        <f t="shared" si="196"/>
        <v>0</v>
      </c>
      <c r="AQ155" s="1">
        <f t="shared" si="197"/>
        <v>0</v>
      </c>
      <c r="AR155" s="72">
        <f t="shared" si="198"/>
        <v>0</v>
      </c>
    </row>
    <row r="156" spans="1:44" x14ac:dyDescent="0.45">
      <c r="A156" s="118">
        <f t="shared" si="186"/>
        <v>148</v>
      </c>
      <c r="B156" s="57"/>
      <c r="C156" s="34" t="s">
        <v>0</v>
      </c>
      <c r="D156" s="34"/>
      <c r="E156" s="33">
        <f>SUM(E141:E155)</f>
        <v>610476</v>
      </c>
      <c r="F156" s="72"/>
      <c r="G156" s="33">
        <f t="shared" ref="G156:K156" si="205">SUM(G141:G155)</f>
        <v>98189.98</v>
      </c>
      <c r="H156" s="33">
        <f t="shared" si="205"/>
        <v>3392.62</v>
      </c>
      <c r="I156" s="33">
        <f t="shared" si="205"/>
        <v>94154.21</v>
      </c>
      <c r="J156" s="33">
        <f t="shared" si="205"/>
        <v>0</v>
      </c>
      <c r="K156" s="33">
        <f t="shared" si="205"/>
        <v>414739.19000000006</v>
      </c>
      <c r="L156" s="72">
        <f t="shared" si="188"/>
        <v>0</v>
      </c>
      <c r="N156" s="72"/>
      <c r="O156" s="33">
        <f t="shared" ref="O156:W156" si="206">SUM(O141:O155)</f>
        <v>22556.158124647129</v>
      </c>
      <c r="P156" s="33">
        <f t="shared" si="206"/>
        <v>75633.821875352864</v>
      </c>
      <c r="Q156" s="33">
        <f t="shared" si="206"/>
        <v>3392.62</v>
      </c>
      <c r="R156" s="33">
        <f t="shared" si="206"/>
        <v>0</v>
      </c>
      <c r="S156" s="33">
        <f t="shared" si="206"/>
        <v>94154.21</v>
      </c>
      <c r="T156" s="33">
        <f t="shared" si="206"/>
        <v>0</v>
      </c>
      <c r="U156" s="33">
        <f t="shared" si="206"/>
        <v>0</v>
      </c>
      <c r="V156" s="33">
        <f t="shared" si="206"/>
        <v>0</v>
      </c>
      <c r="W156" s="33">
        <f t="shared" si="206"/>
        <v>414739.19</v>
      </c>
      <c r="Y156" s="33">
        <f t="shared" ref="Y156:AA156" si="207">SUM(Y141:Y155)</f>
        <v>120102.98812464713</v>
      </c>
      <c r="Z156" s="33">
        <f t="shared" si="207"/>
        <v>75633.821875352864</v>
      </c>
      <c r="AA156" s="33">
        <f t="shared" si="207"/>
        <v>610476</v>
      </c>
      <c r="AB156" s="72">
        <f t="shared" si="193"/>
        <v>0</v>
      </c>
      <c r="AD156" s="72"/>
      <c r="AE156" s="33">
        <f t="shared" ref="AE156:AM156" si="208">SUM(AE141:AE155)</f>
        <v>2041.332310280565</v>
      </c>
      <c r="AF156" s="33">
        <f t="shared" si="208"/>
        <v>6844.8608797194338</v>
      </c>
      <c r="AG156" s="33">
        <f t="shared" si="208"/>
        <v>307.03210999999999</v>
      </c>
      <c r="AH156" s="33">
        <f t="shared" si="208"/>
        <v>0</v>
      </c>
      <c r="AI156" s="33">
        <f t="shared" si="208"/>
        <v>8520.956005</v>
      </c>
      <c r="AJ156" s="33">
        <f t="shared" si="208"/>
        <v>0</v>
      </c>
      <c r="AK156" s="33">
        <f t="shared" si="208"/>
        <v>0</v>
      </c>
      <c r="AL156" s="33">
        <f t="shared" si="208"/>
        <v>0</v>
      </c>
      <c r="AM156" s="33">
        <f t="shared" si="208"/>
        <v>592761.81869500002</v>
      </c>
      <c r="AO156" s="33">
        <f t="shared" ref="AO156:AQ156" si="209">SUM(AO141:AO155)</f>
        <v>10869.320425280564</v>
      </c>
      <c r="AP156" s="33">
        <f t="shared" si="209"/>
        <v>6844.8608797194338</v>
      </c>
      <c r="AQ156" s="33">
        <f t="shared" si="209"/>
        <v>610476</v>
      </c>
      <c r="AR156" s="72">
        <f t="shared" si="198"/>
        <v>0</v>
      </c>
    </row>
    <row r="157" spans="1:44" x14ac:dyDescent="0.45">
      <c r="A157" s="118">
        <f t="shared" si="186"/>
        <v>149</v>
      </c>
      <c r="B157" s="34"/>
      <c r="C157" s="34"/>
      <c r="D157" s="34"/>
      <c r="E157" s="34"/>
      <c r="F157" s="74"/>
      <c r="G157" s="88"/>
      <c r="H157" s="88"/>
      <c r="I157" s="88"/>
      <c r="J157" s="88"/>
      <c r="K157" s="88"/>
      <c r="L157" s="74"/>
      <c r="N157" s="74"/>
      <c r="O157" s="88"/>
      <c r="P157" s="88"/>
      <c r="Q157" s="88"/>
      <c r="R157" s="88"/>
      <c r="S157" s="88"/>
      <c r="T157" s="88"/>
      <c r="U157" s="88"/>
      <c r="V157" s="88"/>
      <c r="W157" s="88"/>
      <c r="Y157" s="88"/>
      <c r="Z157" s="88"/>
      <c r="AA157" s="88"/>
      <c r="AB157" s="74"/>
      <c r="AD157" s="74"/>
      <c r="AE157" s="88"/>
      <c r="AF157" s="88"/>
      <c r="AG157" s="88"/>
      <c r="AH157" s="88"/>
      <c r="AI157" s="88"/>
      <c r="AJ157" s="88"/>
      <c r="AK157" s="88"/>
      <c r="AL157" s="88"/>
      <c r="AM157" s="88"/>
      <c r="AO157" s="88"/>
      <c r="AP157" s="88"/>
      <c r="AQ157" s="88"/>
      <c r="AR157" s="74"/>
    </row>
    <row r="158" spans="1:44" x14ac:dyDescent="0.45">
      <c r="A158" s="118">
        <f t="shared" si="186"/>
        <v>150</v>
      </c>
      <c r="B158" s="35" t="s">
        <v>318</v>
      </c>
      <c r="C158" s="35"/>
      <c r="D158" s="34"/>
      <c r="E158" s="34"/>
      <c r="F158" s="74"/>
      <c r="G158" s="88"/>
      <c r="H158" s="88"/>
      <c r="I158" s="88"/>
      <c r="J158" s="88"/>
      <c r="K158" s="88"/>
      <c r="L158" s="74"/>
      <c r="N158" s="74"/>
      <c r="O158" s="88"/>
      <c r="P158" s="88"/>
      <c r="Q158" s="88"/>
      <c r="R158" s="88"/>
      <c r="S158" s="88"/>
      <c r="T158" s="88"/>
      <c r="U158" s="88"/>
      <c r="V158" s="88"/>
      <c r="W158" s="88"/>
      <c r="Y158" s="88"/>
      <c r="Z158" s="88"/>
      <c r="AA158" s="88"/>
      <c r="AB158" s="74"/>
      <c r="AD158" s="74"/>
      <c r="AE158" s="88"/>
      <c r="AF158" s="88"/>
      <c r="AG158" s="88"/>
      <c r="AH158" s="88"/>
      <c r="AI158" s="88"/>
      <c r="AJ158" s="88"/>
      <c r="AK158" s="88"/>
      <c r="AL158" s="88"/>
      <c r="AM158" s="88"/>
      <c r="AO158" s="88"/>
      <c r="AP158" s="88"/>
      <c r="AQ158" s="88"/>
      <c r="AR158" s="74"/>
    </row>
    <row r="159" spans="1:44" x14ac:dyDescent="0.45">
      <c r="A159" s="118">
        <f t="shared" si="186"/>
        <v>151</v>
      </c>
      <c r="B159" s="79">
        <v>590</v>
      </c>
      <c r="C159" s="37" t="s">
        <v>269</v>
      </c>
      <c r="D159" s="34" t="s">
        <v>319</v>
      </c>
      <c r="E159" s="25">
        <v>0</v>
      </c>
      <c r="F159" s="72">
        <f>+F141</f>
        <v>101</v>
      </c>
      <c r="G159" s="1">
        <f>VLOOKUP($F159,AF!$B$39:$M$80,G$9)*$E159</f>
        <v>0</v>
      </c>
      <c r="H159" s="1">
        <f>VLOOKUP($F159,AF!$B$39:$M$80,H$9)*$E159</f>
        <v>0</v>
      </c>
      <c r="I159" s="1">
        <f>VLOOKUP($F159,AF!$B$39:$M$80,I$9)*$E159</f>
        <v>0</v>
      </c>
      <c r="J159" s="1">
        <f>VLOOKUP($F159,AF!$B$39:$M$80,J$9)*$E159</f>
        <v>0</v>
      </c>
      <c r="K159" s="1">
        <f t="shared" ref="K159" si="210">E159-SUM(G159:J159)</f>
        <v>0</v>
      </c>
      <c r="L159" s="72">
        <f t="shared" ref="L159:L174" si="211">$E159-SUM(G159:K159)</f>
        <v>0</v>
      </c>
      <c r="N159" s="8">
        <v>203</v>
      </c>
      <c r="O159" s="1">
        <f>VLOOKUP($N159,AF!$B$39:$M$80,O$9)*$G159</f>
        <v>0</v>
      </c>
      <c r="P159" s="1">
        <f>VLOOKUP($N159,AF!$B$39:$M$80,P$9)*$G159</f>
        <v>0</v>
      </c>
      <c r="Q159" s="1">
        <f>VLOOKUP($N159,AF!$B$39:$M$80,Q$9)*$H159</f>
        <v>0</v>
      </c>
      <c r="R159" s="1">
        <f>VLOOKUP($N159,AF!$B$39:$M$80,R$9)*$H159</f>
        <v>0</v>
      </c>
      <c r="S159" s="1">
        <f>VLOOKUP($N159,AF!$B$39:$M$80,S$9)*$I159</f>
        <v>0</v>
      </c>
      <c r="T159" s="1">
        <f>VLOOKUP($N159,AF!$B$39:$M$80,T$9)*$I159</f>
        <v>0</v>
      </c>
      <c r="U159" s="1">
        <f>VLOOKUP($N159,AF!$B$39:$M$80,U$9)*$J159</f>
        <v>0</v>
      </c>
      <c r="V159" s="1">
        <f>VLOOKUP($N159,AF!$B$39:$M$80,V$9)*$J159</f>
        <v>0</v>
      </c>
      <c r="W159" s="1">
        <f t="shared" ref="W159:W173" si="212">E159-SUM(O159:V159)</f>
        <v>0</v>
      </c>
      <c r="Y159" s="1">
        <f t="shared" ref="Y159:Y173" si="213">+O159+Q159+S159+U159</f>
        <v>0</v>
      </c>
      <c r="Z159" s="1">
        <f t="shared" ref="Z159:Z173" si="214">+P159+R159+T159+V159</f>
        <v>0</v>
      </c>
      <c r="AA159" s="1">
        <f t="shared" ref="AA159:AA173" si="215">+Z159+Y159+W159</f>
        <v>0</v>
      </c>
      <c r="AB159" s="72">
        <f t="shared" ref="AB159:AB176" si="216">$E159-AA159</f>
        <v>0</v>
      </c>
      <c r="AD159" s="72">
        <v>301</v>
      </c>
      <c r="AE159" s="1">
        <f>VLOOKUP($AD159,AF!$B$39:$M$80,AE$9)*$O159</f>
        <v>0</v>
      </c>
      <c r="AF159" s="1">
        <f>VLOOKUP($AD159,AF!$B$39:$M$80,AF$9)*$P159</f>
        <v>0</v>
      </c>
      <c r="AG159" s="1">
        <f>VLOOKUP($AD159,AF!$B$39:$M$80,AG$9)*$Q159</f>
        <v>0</v>
      </c>
      <c r="AH159" s="1">
        <f>VLOOKUP($AD159,AF!$B$39:$M$80,AH$9)*$R159</f>
        <v>0</v>
      </c>
      <c r="AI159" s="1">
        <f>VLOOKUP($AD159,AF!$B$39:$M$80,AI$9)*$S159</f>
        <v>0</v>
      </c>
      <c r="AJ159" s="1">
        <f>VLOOKUP($AD159,AF!$B$39:$M$80,AJ$9)*$T159</f>
        <v>0</v>
      </c>
      <c r="AK159" s="1">
        <f>VLOOKUP($AD159,AF!$B$39:$M$80,AK$9)*$U159</f>
        <v>0</v>
      </c>
      <c r="AL159" s="1">
        <f>VLOOKUP($AD159,AF!$B$39:$M$80,AL$9)*$V159</f>
        <v>0</v>
      </c>
      <c r="AM159" s="1">
        <f t="shared" ref="AM159:AM173" si="217">E159-SUM(AE159:AL159)</f>
        <v>0</v>
      </c>
      <c r="AO159" s="1">
        <f t="shared" ref="AO159:AO173" si="218">+AE159+AG159+AI159+AK159</f>
        <v>0</v>
      </c>
      <c r="AP159" s="1">
        <f t="shared" ref="AP159:AP173" si="219">+AF159+AH159+AJ159+AL159</f>
        <v>0</v>
      </c>
      <c r="AQ159" s="1">
        <f t="shared" ref="AQ159:AQ173" si="220">+AP159+AO159+AM159</f>
        <v>0</v>
      </c>
      <c r="AR159" s="72">
        <f t="shared" ref="AR159:AR176" si="221">$E159-AQ159</f>
        <v>0</v>
      </c>
    </row>
    <row r="160" spans="1:44" x14ac:dyDescent="0.45">
      <c r="A160" s="118">
        <f t="shared" si="186"/>
        <v>152</v>
      </c>
      <c r="B160" s="79" t="s">
        <v>635</v>
      </c>
      <c r="C160" s="79" t="s">
        <v>608</v>
      </c>
      <c r="D160" s="34"/>
      <c r="E160" s="17">
        <f>SUM(G160:K160)</f>
        <v>0</v>
      </c>
      <c r="F160" s="72">
        <v>100</v>
      </c>
      <c r="G160" s="25">
        <v>0</v>
      </c>
      <c r="H160" s="25">
        <v>0</v>
      </c>
      <c r="I160" s="25">
        <v>0</v>
      </c>
      <c r="J160" s="25">
        <v>0</v>
      </c>
      <c r="K160" s="25">
        <v>0</v>
      </c>
      <c r="L160" s="72">
        <f t="shared" si="211"/>
        <v>0</v>
      </c>
      <c r="N160" s="8">
        <v>203</v>
      </c>
      <c r="O160" s="1">
        <f>VLOOKUP($N160,AF!$B$39:$M$80,O$9)*$G160</f>
        <v>0</v>
      </c>
      <c r="P160" s="1">
        <f>VLOOKUP($N160,AF!$B$39:$M$80,P$9)*$G160</f>
        <v>0</v>
      </c>
      <c r="Q160" s="1">
        <f>VLOOKUP($N160,AF!$B$39:$M$80,Q$9)*$H160</f>
        <v>0</v>
      </c>
      <c r="R160" s="1">
        <f>VLOOKUP($N160,AF!$B$39:$M$80,R$9)*$H160</f>
        <v>0</v>
      </c>
      <c r="S160" s="1">
        <f>VLOOKUP($N160,AF!$B$39:$M$80,S$9)*$I160</f>
        <v>0</v>
      </c>
      <c r="T160" s="1">
        <f>VLOOKUP($N160,AF!$B$39:$M$80,T$9)*$I160</f>
        <v>0</v>
      </c>
      <c r="U160" s="1">
        <f>VLOOKUP($N160,AF!$B$39:$M$80,U$9)*$J160</f>
        <v>0</v>
      </c>
      <c r="V160" s="1">
        <f>VLOOKUP($N160,AF!$B$39:$M$80,V$9)*$J160</f>
        <v>0</v>
      </c>
      <c r="W160" s="1">
        <f t="shared" si="212"/>
        <v>0</v>
      </c>
      <c r="Y160" s="1">
        <f t="shared" si="213"/>
        <v>0</v>
      </c>
      <c r="Z160" s="1">
        <f t="shared" si="214"/>
        <v>0</v>
      </c>
      <c r="AA160" s="1">
        <f t="shared" si="215"/>
        <v>0</v>
      </c>
      <c r="AB160" s="72">
        <f t="shared" si="216"/>
        <v>0</v>
      </c>
      <c r="AD160" s="72">
        <v>301</v>
      </c>
      <c r="AE160" s="1">
        <f>VLOOKUP($AD160,AF!$B$39:$M$80,AE$9)*$O160</f>
        <v>0</v>
      </c>
      <c r="AF160" s="1">
        <f>VLOOKUP($AD160,AF!$B$39:$M$80,AF$9)*$P160</f>
        <v>0</v>
      </c>
      <c r="AG160" s="1">
        <f>VLOOKUP($AD160,AF!$B$39:$M$80,AG$9)*$Q160</f>
        <v>0</v>
      </c>
      <c r="AH160" s="1">
        <f>VLOOKUP($AD160,AF!$B$39:$M$80,AH$9)*$R160</f>
        <v>0</v>
      </c>
      <c r="AI160" s="1">
        <f>VLOOKUP($AD160,AF!$B$39:$M$80,AI$9)*$S160</f>
        <v>0</v>
      </c>
      <c r="AJ160" s="1">
        <f>VLOOKUP($AD160,AF!$B$39:$M$80,AJ$9)*$T160</f>
        <v>0</v>
      </c>
      <c r="AK160" s="1">
        <f>VLOOKUP($AD160,AF!$B$39:$M$80,AK$9)*$U160</f>
        <v>0</v>
      </c>
      <c r="AL160" s="1">
        <f>VLOOKUP($AD160,AF!$B$39:$M$80,AL$9)*$V160</f>
        <v>0</v>
      </c>
      <c r="AM160" s="1">
        <f t="shared" si="217"/>
        <v>0</v>
      </c>
      <c r="AO160" s="1">
        <f t="shared" si="218"/>
        <v>0</v>
      </c>
      <c r="AP160" s="1">
        <f t="shared" si="219"/>
        <v>0</v>
      </c>
      <c r="AQ160" s="1">
        <f t="shared" si="220"/>
        <v>0</v>
      </c>
      <c r="AR160" s="72">
        <f t="shared" si="221"/>
        <v>0</v>
      </c>
    </row>
    <row r="161" spans="1:44" x14ac:dyDescent="0.45">
      <c r="A161" s="118">
        <f t="shared" si="186"/>
        <v>153</v>
      </c>
      <c r="B161" s="79">
        <v>591</v>
      </c>
      <c r="C161" s="37" t="s">
        <v>271</v>
      </c>
      <c r="D161" s="34" t="s">
        <v>320</v>
      </c>
      <c r="E161" s="25">
        <v>0</v>
      </c>
      <c r="F161" s="72">
        <f>+F143</f>
        <v>101</v>
      </c>
      <c r="G161" s="1">
        <f>VLOOKUP($F161,AF!$B$39:$M$80,G$9)*$E161</f>
        <v>0</v>
      </c>
      <c r="H161" s="1">
        <f>VLOOKUP($F161,AF!$B$39:$M$80,H$9)*$E161</f>
        <v>0</v>
      </c>
      <c r="I161" s="1">
        <f>VLOOKUP($F161,AF!$B$39:$M$80,I$9)*$E161</f>
        <v>0</v>
      </c>
      <c r="J161" s="1">
        <f>VLOOKUP($F161,AF!$B$39:$M$80,J$9)*$E161</f>
        <v>0</v>
      </c>
      <c r="K161" s="1">
        <f t="shared" ref="K161" si="222">E161-SUM(G161:J161)</f>
        <v>0</v>
      </c>
      <c r="L161" s="72">
        <f t="shared" si="211"/>
        <v>0</v>
      </c>
      <c r="N161" s="8">
        <v>203</v>
      </c>
      <c r="O161" s="1">
        <f>VLOOKUP($N161,AF!$B$39:$M$80,O$9)*$G161</f>
        <v>0</v>
      </c>
      <c r="P161" s="1">
        <f>VLOOKUP($N161,AF!$B$39:$M$80,P$9)*$G161</f>
        <v>0</v>
      </c>
      <c r="Q161" s="1">
        <f>VLOOKUP($N161,AF!$B$39:$M$80,Q$9)*$H161</f>
        <v>0</v>
      </c>
      <c r="R161" s="1">
        <f>VLOOKUP($N161,AF!$B$39:$M$80,R$9)*$H161</f>
        <v>0</v>
      </c>
      <c r="S161" s="1">
        <f>VLOOKUP($N161,AF!$B$39:$M$80,S$9)*$I161</f>
        <v>0</v>
      </c>
      <c r="T161" s="1">
        <f>VLOOKUP($N161,AF!$B$39:$M$80,T$9)*$I161</f>
        <v>0</v>
      </c>
      <c r="U161" s="1">
        <f>VLOOKUP($N161,AF!$B$39:$M$80,U$9)*$J161</f>
        <v>0</v>
      </c>
      <c r="V161" s="1">
        <f>VLOOKUP($N161,AF!$B$39:$M$80,V$9)*$J161</f>
        <v>0</v>
      </c>
      <c r="W161" s="1">
        <f t="shared" si="212"/>
        <v>0</v>
      </c>
      <c r="Y161" s="1">
        <f t="shared" si="213"/>
        <v>0</v>
      </c>
      <c r="Z161" s="1">
        <f t="shared" si="214"/>
        <v>0</v>
      </c>
      <c r="AA161" s="1">
        <f t="shared" si="215"/>
        <v>0</v>
      </c>
      <c r="AB161" s="72">
        <f t="shared" si="216"/>
        <v>0</v>
      </c>
      <c r="AD161" s="72">
        <v>301</v>
      </c>
      <c r="AE161" s="1">
        <f>VLOOKUP($AD161,AF!$B$39:$M$80,AE$9)*$O161</f>
        <v>0</v>
      </c>
      <c r="AF161" s="1">
        <f>VLOOKUP($AD161,AF!$B$39:$M$80,AF$9)*$P161</f>
        <v>0</v>
      </c>
      <c r="AG161" s="1">
        <f>VLOOKUP($AD161,AF!$B$39:$M$80,AG$9)*$Q161</f>
        <v>0</v>
      </c>
      <c r="AH161" s="1">
        <f>VLOOKUP($AD161,AF!$B$39:$M$80,AH$9)*$R161</f>
        <v>0</v>
      </c>
      <c r="AI161" s="1">
        <f>VLOOKUP($AD161,AF!$B$39:$M$80,AI$9)*$S161</f>
        <v>0</v>
      </c>
      <c r="AJ161" s="1">
        <f>VLOOKUP($AD161,AF!$B$39:$M$80,AJ$9)*$T161</f>
        <v>0</v>
      </c>
      <c r="AK161" s="1">
        <f>VLOOKUP($AD161,AF!$B$39:$M$80,AK$9)*$U161</f>
        <v>0</v>
      </c>
      <c r="AL161" s="1">
        <f>VLOOKUP($AD161,AF!$B$39:$M$80,AL$9)*$V161</f>
        <v>0</v>
      </c>
      <c r="AM161" s="1">
        <f t="shared" si="217"/>
        <v>0</v>
      </c>
      <c r="AO161" s="1">
        <f t="shared" si="218"/>
        <v>0</v>
      </c>
      <c r="AP161" s="1">
        <f t="shared" si="219"/>
        <v>0</v>
      </c>
      <c r="AQ161" s="1">
        <f t="shared" si="220"/>
        <v>0</v>
      </c>
      <c r="AR161" s="72">
        <f t="shared" si="221"/>
        <v>0</v>
      </c>
    </row>
    <row r="162" spans="1:44" x14ac:dyDescent="0.45">
      <c r="A162" s="118">
        <f t="shared" si="186"/>
        <v>154</v>
      </c>
      <c r="B162" s="79" t="s">
        <v>636</v>
      </c>
      <c r="C162" s="79" t="s">
        <v>610</v>
      </c>
      <c r="D162" s="34"/>
      <c r="E162" s="17">
        <f>SUM(G162:K162)</f>
        <v>0</v>
      </c>
      <c r="F162" s="72">
        <v>100</v>
      </c>
      <c r="G162" s="25">
        <v>0</v>
      </c>
      <c r="H162" s="25">
        <v>0</v>
      </c>
      <c r="I162" s="25">
        <v>0</v>
      </c>
      <c r="J162" s="25">
        <v>0</v>
      </c>
      <c r="K162" s="25">
        <v>0</v>
      </c>
      <c r="L162" s="72">
        <f t="shared" si="211"/>
        <v>0</v>
      </c>
      <c r="N162" s="8">
        <v>203</v>
      </c>
      <c r="O162" s="1">
        <f>VLOOKUP($N162,AF!$B$39:$M$80,O$9)*$G162</f>
        <v>0</v>
      </c>
      <c r="P162" s="1">
        <f>VLOOKUP($N162,AF!$B$39:$M$80,P$9)*$G162</f>
        <v>0</v>
      </c>
      <c r="Q162" s="1">
        <f>VLOOKUP($N162,AF!$B$39:$M$80,Q$9)*$H162</f>
        <v>0</v>
      </c>
      <c r="R162" s="1">
        <f>VLOOKUP($N162,AF!$B$39:$M$80,R$9)*$H162</f>
        <v>0</v>
      </c>
      <c r="S162" s="1">
        <f>VLOOKUP($N162,AF!$B$39:$M$80,S$9)*$I162</f>
        <v>0</v>
      </c>
      <c r="T162" s="1">
        <f>VLOOKUP($N162,AF!$B$39:$M$80,T$9)*$I162</f>
        <v>0</v>
      </c>
      <c r="U162" s="1">
        <f>VLOOKUP($N162,AF!$B$39:$M$80,U$9)*$J162</f>
        <v>0</v>
      </c>
      <c r="V162" s="1">
        <f>VLOOKUP($N162,AF!$B$39:$M$80,V$9)*$J162</f>
        <v>0</v>
      </c>
      <c r="W162" s="1">
        <f t="shared" si="212"/>
        <v>0</v>
      </c>
      <c r="Y162" s="1">
        <f t="shared" si="213"/>
        <v>0</v>
      </c>
      <c r="Z162" s="1">
        <f t="shared" si="214"/>
        <v>0</v>
      </c>
      <c r="AA162" s="1">
        <f t="shared" si="215"/>
        <v>0</v>
      </c>
      <c r="AB162" s="72">
        <f t="shared" si="216"/>
        <v>0</v>
      </c>
      <c r="AD162" s="72">
        <v>301</v>
      </c>
      <c r="AE162" s="1">
        <f>VLOOKUP($AD162,AF!$B$39:$M$80,AE$9)*$O162</f>
        <v>0</v>
      </c>
      <c r="AF162" s="1">
        <f>VLOOKUP($AD162,AF!$B$39:$M$80,AF$9)*$P162</f>
        <v>0</v>
      </c>
      <c r="AG162" s="1">
        <f>VLOOKUP($AD162,AF!$B$39:$M$80,AG$9)*$Q162</f>
        <v>0</v>
      </c>
      <c r="AH162" s="1">
        <f>VLOOKUP($AD162,AF!$B$39:$M$80,AH$9)*$R162</f>
        <v>0</v>
      </c>
      <c r="AI162" s="1">
        <f>VLOOKUP($AD162,AF!$B$39:$M$80,AI$9)*$S162</f>
        <v>0</v>
      </c>
      <c r="AJ162" s="1">
        <f>VLOOKUP($AD162,AF!$B$39:$M$80,AJ$9)*$T162</f>
        <v>0</v>
      </c>
      <c r="AK162" s="1">
        <f>VLOOKUP($AD162,AF!$B$39:$M$80,AK$9)*$U162</f>
        <v>0</v>
      </c>
      <c r="AL162" s="1">
        <f>VLOOKUP($AD162,AF!$B$39:$M$80,AL$9)*$V162</f>
        <v>0</v>
      </c>
      <c r="AM162" s="1">
        <f t="shared" si="217"/>
        <v>0</v>
      </c>
      <c r="AO162" s="1">
        <f t="shared" si="218"/>
        <v>0</v>
      </c>
      <c r="AP162" s="1">
        <f t="shared" si="219"/>
        <v>0</v>
      </c>
      <c r="AQ162" s="1">
        <f t="shared" si="220"/>
        <v>0</v>
      </c>
      <c r="AR162" s="72">
        <f t="shared" si="221"/>
        <v>0</v>
      </c>
    </row>
    <row r="163" spans="1:44" x14ac:dyDescent="0.45">
      <c r="A163" s="118">
        <f t="shared" si="186"/>
        <v>155</v>
      </c>
      <c r="B163" s="79">
        <v>592</v>
      </c>
      <c r="C163" s="37" t="s">
        <v>321</v>
      </c>
      <c r="D163" s="34" t="s">
        <v>322</v>
      </c>
      <c r="E163" s="25">
        <f>1108153-E164</f>
        <v>0.12999999988824129</v>
      </c>
      <c r="F163" s="72">
        <f>+F145</f>
        <v>101</v>
      </c>
      <c r="G163" s="1">
        <f>VLOOKUP($F163,AF!$B$39:$M$80,G$9)*$E163</f>
        <v>0</v>
      </c>
      <c r="H163" s="1">
        <f>VLOOKUP($F163,AF!$B$39:$M$80,H$9)*$E163</f>
        <v>0</v>
      </c>
      <c r="I163" s="1">
        <f>VLOOKUP($F163,AF!$B$39:$M$80,I$9)*$E163</f>
        <v>0</v>
      </c>
      <c r="J163" s="1">
        <f>VLOOKUP($F163,AF!$B$39:$M$80,J$9)*$E163</f>
        <v>0</v>
      </c>
      <c r="K163" s="1">
        <f t="shared" ref="K163" si="223">E163-SUM(G163:J163)</f>
        <v>0.12999999988824129</v>
      </c>
      <c r="L163" s="72">
        <f t="shared" si="211"/>
        <v>0</v>
      </c>
      <c r="N163" s="8">
        <v>203</v>
      </c>
      <c r="O163" s="1">
        <f>VLOOKUP($N163,AF!$B$39:$M$80,O$9)*$G163</f>
        <v>0</v>
      </c>
      <c r="P163" s="1">
        <f>VLOOKUP($N163,AF!$B$39:$M$80,P$9)*$G163</f>
        <v>0</v>
      </c>
      <c r="Q163" s="1">
        <f>VLOOKUP($N163,AF!$B$39:$M$80,Q$9)*$H163</f>
        <v>0</v>
      </c>
      <c r="R163" s="1">
        <f>VLOOKUP($N163,AF!$B$39:$M$80,R$9)*$H163</f>
        <v>0</v>
      </c>
      <c r="S163" s="1">
        <f>VLOOKUP($N163,AF!$B$39:$M$80,S$9)*$I163</f>
        <v>0</v>
      </c>
      <c r="T163" s="1">
        <f>VLOOKUP($N163,AF!$B$39:$M$80,T$9)*$I163</f>
        <v>0</v>
      </c>
      <c r="U163" s="1">
        <f>VLOOKUP($N163,AF!$B$39:$M$80,U$9)*$J163</f>
        <v>0</v>
      </c>
      <c r="V163" s="1">
        <f>VLOOKUP($N163,AF!$B$39:$M$80,V$9)*$J163</f>
        <v>0</v>
      </c>
      <c r="W163" s="1">
        <f t="shared" si="212"/>
        <v>0.12999999988824129</v>
      </c>
      <c r="Y163" s="1">
        <f t="shared" si="213"/>
        <v>0</v>
      </c>
      <c r="Z163" s="1">
        <f t="shared" si="214"/>
        <v>0</v>
      </c>
      <c r="AA163" s="1">
        <f t="shared" si="215"/>
        <v>0.12999999988824129</v>
      </c>
      <c r="AB163" s="72">
        <f t="shared" si="216"/>
        <v>0</v>
      </c>
      <c r="AD163" s="72">
        <v>301</v>
      </c>
      <c r="AE163" s="1">
        <f>VLOOKUP($AD163,AF!$B$39:$M$80,AE$9)*$O163</f>
        <v>0</v>
      </c>
      <c r="AF163" s="1">
        <f>VLOOKUP($AD163,AF!$B$39:$M$80,AF$9)*$P163</f>
        <v>0</v>
      </c>
      <c r="AG163" s="1">
        <f>VLOOKUP($AD163,AF!$B$39:$M$80,AG$9)*$Q163</f>
        <v>0</v>
      </c>
      <c r="AH163" s="1">
        <f>VLOOKUP($AD163,AF!$B$39:$M$80,AH$9)*$R163</f>
        <v>0</v>
      </c>
      <c r="AI163" s="1">
        <f>VLOOKUP($AD163,AF!$B$39:$M$80,AI$9)*$S163</f>
        <v>0</v>
      </c>
      <c r="AJ163" s="1">
        <f>VLOOKUP($AD163,AF!$B$39:$M$80,AJ$9)*$T163</f>
        <v>0</v>
      </c>
      <c r="AK163" s="1">
        <f>VLOOKUP($AD163,AF!$B$39:$M$80,AK$9)*$U163</f>
        <v>0</v>
      </c>
      <c r="AL163" s="1">
        <f>VLOOKUP($AD163,AF!$B$39:$M$80,AL$9)*$V163</f>
        <v>0</v>
      </c>
      <c r="AM163" s="1">
        <f t="shared" si="217"/>
        <v>0.12999999988824129</v>
      </c>
      <c r="AO163" s="1">
        <f t="shared" si="218"/>
        <v>0</v>
      </c>
      <c r="AP163" s="1">
        <f t="shared" si="219"/>
        <v>0</v>
      </c>
      <c r="AQ163" s="1">
        <f t="shared" si="220"/>
        <v>0.12999999988824129</v>
      </c>
      <c r="AR163" s="72">
        <f t="shared" si="221"/>
        <v>0</v>
      </c>
    </row>
    <row r="164" spans="1:44" x14ac:dyDescent="0.45">
      <c r="A164" s="118">
        <f t="shared" si="186"/>
        <v>156</v>
      </c>
      <c r="B164" s="79" t="s">
        <v>637</v>
      </c>
      <c r="C164" s="79" t="s">
        <v>638</v>
      </c>
      <c r="D164" s="34"/>
      <c r="E164" s="17">
        <f>SUM(G164:K164)</f>
        <v>1108152.8700000001</v>
      </c>
      <c r="F164" s="72">
        <v>100</v>
      </c>
      <c r="G164" s="25">
        <v>12292.35</v>
      </c>
      <c r="H164" s="25">
        <v>2843.4</v>
      </c>
      <c r="I164" s="25">
        <v>1093017.1200000001</v>
      </c>
      <c r="J164" s="25">
        <v>0</v>
      </c>
      <c r="K164" s="25">
        <v>0</v>
      </c>
      <c r="L164" s="72">
        <f t="shared" si="211"/>
        <v>0</v>
      </c>
      <c r="N164" s="8">
        <v>203</v>
      </c>
      <c r="O164" s="1">
        <f>VLOOKUP($N164,AF!$B$39:$M$80,O$9)*$G164</f>
        <v>2823.7931235295714</v>
      </c>
      <c r="P164" s="1">
        <f>VLOOKUP($N164,AF!$B$39:$M$80,P$9)*$G164</f>
        <v>9468.5568764704294</v>
      </c>
      <c r="Q164" s="1">
        <f>VLOOKUP($N164,AF!$B$39:$M$80,Q$9)*$H164</f>
        <v>2843.4</v>
      </c>
      <c r="R164" s="1">
        <f>VLOOKUP($N164,AF!$B$39:$M$80,R$9)*$H164</f>
        <v>0</v>
      </c>
      <c r="S164" s="1">
        <f>VLOOKUP($N164,AF!$B$39:$M$80,S$9)*$I164</f>
        <v>1093017.1200000001</v>
      </c>
      <c r="T164" s="1">
        <f>VLOOKUP($N164,AF!$B$39:$M$80,T$9)*$I164</f>
        <v>0</v>
      </c>
      <c r="U164" s="1">
        <f>VLOOKUP($N164,AF!$B$39:$M$80,U$9)*$J164</f>
        <v>0</v>
      </c>
      <c r="V164" s="1">
        <f>VLOOKUP($N164,AF!$B$39:$M$80,V$9)*$J164</f>
        <v>0</v>
      </c>
      <c r="W164" s="1">
        <f t="shared" si="212"/>
        <v>0</v>
      </c>
      <c r="Y164" s="1">
        <f t="shared" si="213"/>
        <v>1098684.3131235298</v>
      </c>
      <c r="Z164" s="1">
        <f t="shared" si="214"/>
        <v>9468.5568764704294</v>
      </c>
      <c r="AA164" s="1">
        <f t="shared" si="215"/>
        <v>1108152.8700000001</v>
      </c>
      <c r="AB164" s="72">
        <f t="shared" si="216"/>
        <v>0</v>
      </c>
      <c r="AD164" s="72">
        <v>301</v>
      </c>
      <c r="AE164" s="1">
        <f>VLOOKUP($AD164,AF!$B$39:$M$80,AE$9)*$O164</f>
        <v>255.5532776794262</v>
      </c>
      <c r="AF164" s="1">
        <f>VLOOKUP($AD164,AF!$B$39:$M$80,AF$9)*$P164</f>
        <v>856.90439732057382</v>
      </c>
      <c r="AG164" s="1">
        <f>VLOOKUP($AD164,AF!$B$39:$M$80,AG$9)*$Q164</f>
        <v>257.32769999999999</v>
      </c>
      <c r="AH164" s="1">
        <f>VLOOKUP($AD164,AF!$B$39:$M$80,AH$9)*$R164</f>
        <v>0</v>
      </c>
      <c r="AI164" s="1">
        <f>VLOOKUP($AD164,AF!$B$39:$M$80,AI$9)*$S164</f>
        <v>98918.049360000005</v>
      </c>
      <c r="AJ164" s="1">
        <f>VLOOKUP($AD164,AF!$B$39:$M$80,AJ$9)*$T164</f>
        <v>0</v>
      </c>
      <c r="AK164" s="1">
        <f>VLOOKUP($AD164,AF!$B$39:$M$80,AK$9)*$U164</f>
        <v>0</v>
      </c>
      <c r="AL164" s="1">
        <f>VLOOKUP($AD164,AF!$B$39:$M$80,AL$9)*$V164</f>
        <v>0</v>
      </c>
      <c r="AM164" s="1">
        <f t="shared" si="217"/>
        <v>1007865.0352650001</v>
      </c>
      <c r="AO164" s="1">
        <f t="shared" si="218"/>
        <v>99430.930337679427</v>
      </c>
      <c r="AP164" s="1">
        <f t="shared" si="219"/>
        <v>856.90439732057382</v>
      </c>
      <c r="AQ164" s="1">
        <f t="shared" si="220"/>
        <v>1108152.8700000001</v>
      </c>
      <c r="AR164" s="72">
        <f t="shared" si="221"/>
        <v>0</v>
      </c>
    </row>
    <row r="165" spans="1:44" x14ac:dyDescent="0.45">
      <c r="A165" s="118">
        <f t="shared" si="186"/>
        <v>157</v>
      </c>
      <c r="B165" s="79">
        <v>593</v>
      </c>
      <c r="C165" s="37" t="s">
        <v>323</v>
      </c>
      <c r="D165" s="34" t="s">
        <v>324</v>
      </c>
      <c r="E165" s="25">
        <f>0-E166</f>
        <v>0</v>
      </c>
      <c r="F165" s="72">
        <f>+F147</f>
        <v>101</v>
      </c>
      <c r="G165" s="1">
        <f>VLOOKUP($F165,AF!$B$39:$M$80,G$9)*$E165</f>
        <v>0</v>
      </c>
      <c r="H165" s="1">
        <f>VLOOKUP($F165,AF!$B$39:$M$80,H$9)*$E165</f>
        <v>0</v>
      </c>
      <c r="I165" s="1">
        <f>VLOOKUP($F165,AF!$B$39:$M$80,I$9)*$E165</f>
        <v>0</v>
      </c>
      <c r="J165" s="1">
        <f>VLOOKUP($F165,AF!$B$39:$M$80,J$9)*$E165</f>
        <v>0</v>
      </c>
      <c r="K165" s="1">
        <f t="shared" ref="K165" si="224">E165-SUM(G165:J165)</f>
        <v>0</v>
      </c>
      <c r="L165" s="72">
        <f t="shared" si="211"/>
        <v>0</v>
      </c>
      <c r="N165" s="8">
        <v>203</v>
      </c>
      <c r="O165" s="1">
        <f>VLOOKUP($N165,AF!$B$39:$M$80,O$9)*$G165</f>
        <v>0</v>
      </c>
      <c r="P165" s="1">
        <f>VLOOKUP($N165,AF!$B$39:$M$80,P$9)*$G165</f>
        <v>0</v>
      </c>
      <c r="Q165" s="1">
        <f>VLOOKUP($N165,AF!$B$39:$M$80,Q$9)*$H165</f>
        <v>0</v>
      </c>
      <c r="R165" s="1">
        <f>VLOOKUP($N165,AF!$B$39:$M$80,R$9)*$H165</f>
        <v>0</v>
      </c>
      <c r="S165" s="1">
        <f>VLOOKUP($N165,AF!$B$39:$M$80,S$9)*$I165</f>
        <v>0</v>
      </c>
      <c r="T165" s="1">
        <f>VLOOKUP($N165,AF!$B$39:$M$80,T$9)*$I165</f>
        <v>0</v>
      </c>
      <c r="U165" s="1">
        <f>VLOOKUP($N165,AF!$B$39:$M$80,U$9)*$J165</f>
        <v>0</v>
      </c>
      <c r="V165" s="1">
        <f>VLOOKUP($N165,AF!$B$39:$M$80,V$9)*$J165</f>
        <v>0</v>
      </c>
      <c r="W165" s="1">
        <f t="shared" si="212"/>
        <v>0</v>
      </c>
      <c r="Y165" s="1">
        <f t="shared" si="213"/>
        <v>0</v>
      </c>
      <c r="Z165" s="1">
        <f t="shared" si="214"/>
        <v>0</v>
      </c>
      <c r="AA165" s="1">
        <f t="shared" si="215"/>
        <v>0</v>
      </c>
      <c r="AB165" s="72">
        <f t="shared" si="216"/>
        <v>0</v>
      </c>
      <c r="AD165" s="72">
        <v>302</v>
      </c>
      <c r="AE165" s="1">
        <f>VLOOKUP($AD165,AF!$B$39:$M$80,AE$9)*$O165</f>
        <v>0</v>
      </c>
      <c r="AF165" s="1">
        <f>VLOOKUP($AD165,AF!$B$39:$M$80,AF$9)*$P165</f>
        <v>0</v>
      </c>
      <c r="AG165" s="1">
        <f>VLOOKUP($AD165,AF!$B$39:$M$80,AG$9)*$Q165</f>
        <v>0</v>
      </c>
      <c r="AH165" s="1">
        <f>VLOOKUP($AD165,AF!$B$39:$M$80,AH$9)*$R165</f>
        <v>0</v>
      </c>
      <c r="AI165" s="1">
        <f>VLOOKUP($AD165,AF!$B$39:$M$80,AI$9)*$S165</f>
        <v>0</v>
      </c>
      <c r="AJ165" s="1">
        <f>VLOOKUP($AD165,AF!$B$39:$M$80,AJ$9)*$T165</f>
        <v>0</v>
      </c>
      <c r="AK165" s="1">
        <f>VLOOKUP($AD165,AF!$B$39:$M$80,AK$9)*$U165</f>
        <v>0</v>
      </c>
      <c r="AL165" s="1">
        <f>VLOOKUP($AD165,AF!$B$39:$M$80,AL$9)*$V165</f>
        <v>0</v>
      </c>
      <c r="AM165" s="1">
        <f t="shared" si="217"/>
        <v>0</v>
      </c>
      <c r="AO165" s="1">
        <f t="shared" si="218"/>
        <v>0</v>
      </c>
      <c r="AP165" s="1">
        <f t="shared" si="219"/>
        <v>0</v>
      </c>
      <c r="AQ165" s="1">
        <f t="shared" si="220"/>
        <v>0</v>
      </c>
      <c r="AR165" s="72">
        <f t="shared" si="221"/>
        <v>0</v>
      </c>
    </row>
    <row r="166" spans="1:44" x14ac:dyDescent="0.45">
      <c r="A166" s="118">
        <f t="shared" si="186"/>
        <v>158</v>
      </c>
      <c r="B166" s="79" t="s">
        <v>639</v>
      </c>
      <c r="C166" s="79" t="s">
        <v>640</v>
      </c>
      <c r="D166" s="34"/>
      <c r="E166" s="17">
        <f>SUM(G166:K166)</f>
        <v>0</v>
      </c>
      <c r="F166" s="72">
        <v>100</v>
      </c>
      <c r="G166" s="25">
        <v>0</v>
      </c>
      <c r="H166" s="25">
        <v>0</v>
      </c>
      <c r="I166" s="25">
        <v>0</v>
      </c>
      <c r="J166" s="25">
        <v>0</v>
      </c>
      <c r="K166" s="25">
        <v>0</v>
      </c>
      <c r="L166" s="72">
        <f t="shared" si="211"/>
        <v>0</v>
      </c>
      <c r="N166" s="8">
        <v>203</v>
      </c>
      <c r="O166" s="1">
        <f>VLOOKUP($N166,AF!$B$39:$M$80,O$9)*$G166</f>
        <v>0</v>
      </c>
      <c r="P166" s="1">
        <f>VLOOKUP($N166,AF!$B$39:$M$80,P$9)*$G166</f>
        <v>0</v>
      </c>
      <c r="Q166" s="1">
        <f>VLOOKUP($N166,AF!$B$39:$M$80,Q$9)*$H166</f>
        <v>0</v>
      </c>
      <c r="R166" s="1">
        <f>VLOOKUP($N166,AF!$B$39:$M$80,R$9)*$H166</f>
        <v>0</v>
      </c>
      <c r="S166" s="1">
        <f>VLOOKUP($N166,AF!$B$39:$M$80,S$9)*$I166</f>
        <v>0</v>
      </c>
      <c r="T166" s="1">
        <f>VLOOKUP($N166,AF!$B$39:$M$80,T$9)*$I166</f>
        <v>0</v>
      </c>
      <c r="U166" s="1">
        <f>VLOOKUP($N166,AF!$B$39:$M$80,U$9)*$J166</f>
        <v>0</v>
      </c>
      <c r="V166" s="1">
        <f>VLOOKUP($N166,AF!$B$39:$M$80,V$9)*$J166</f>
        <v>0</v>
      </c>
      <c r="W166" s="1">
        <f t="shared" si="212"/>
        <v>0</v>
      </c>
      <c r="Y166" s="1">
        <f t="shared" si="213"/>
        <v>0</v>
      </c>
      <c r="Z166" s="1">
        <f t="shared" si="214"/>
        <v>0</v>
      </c>
      <c r="AA166" s="1">
        <f t="shared" si="215"/>
        <v>0</v>
      </c>
      <c r="AB166" s="72">
        <f t="shared" si="216"/>
        <v>0</v>
      </c>
      <c r="AD166" s="72">
        <v>302</v>
      </c>
      <c r="AE166" s="1">
        <f>VLOOKUP($AD166,AF!$B$39:$M$80,AE$9)*$O166</f>
        <v>0</v>
      </c>
      <c r="AF166" s="1">
        <f>VLOOKUP($AD166,AF!$B$39:$M$80,AF$9)*$P166</f>
        <v>0</v>
      </c>
      <c r="AG166" s="1">
        <f>VLOOKUP($AD166,AF!$B$39:$M$80,AG$9)*$Q166</f>
        <v>0</v>
      </c>
      <c r="AH166" s="1">
        <f>VLOOKUP($AD166,AF!$B$39:$M$80,AH$9)*$R166</f>
        <v>0</v>
      </c>
      <c r="AI166" s="1">
        <f>VLOOKUP($AD166,AF!$B$39:$M$80,AI$9)*$S166</f>
        <v>0</v>
      </c>
      <c r="AJ166" s="1">
        <f>VLOOKUP($AD166,AF!$B$39:$M$80,AJ$9)*$T166</f>
        <v>0</v>
      </c>
      <c r="AK166" s="1">
        <f>VLOOKUP($AD166,AF!$B$39:$M$80,AK$9)*$U166</f>
        <v>0</v>
      </c>
      <c r="AL166" s="1">
        <f>VLOOKUP($AD166,AF!$B$39:$M$80,AL$9)*$V166</f>
        <v>0</v>
      </c>
      <c r="AM166" s="1">
        <f t="shared" si="217"/>
        <v>0</v>
      </c>
      <c r="AO166" s="1">
        <f t="shared" si="218"/>
        <v>0</v>
      </c>
      <c r="AP166" s="1">
        <f t="shared" si="219"/>
        <v>0</v>
      </c>
      <c r="AQ166" s="1">
        <f t="shared" si="220"/>
        <v>0</v>
      </c>
      <c r="AR166" s="72">
        <f t="shared" si="221"/>
        <v>0</v>
      </c>
    </row>
    <row r="167" spans="1:44" x14ac:dyDescent="0.45">
      <c r="A167" s="118">
        <f t="shared" si="186"/>
        <v>159</v>
      </c>
      <c r="B167" s="79">
        <v>594</v>
      </c>
      <c r="C167" s="37" t="s">
        <v>299</v>
      </c>
      <c r="D167" s="34" t="s">
        <v>325</v>
      </c>
      <c r="E167" s="25">
        <v>0</v>
      </c>
      <c r="F167" s="72">
        <f>+F149</f>
        <v>101</v>
      </c>
      <c r="G167" s="1">
        <f>VLOOKUP($F167,AF!$B$39:$M$80,G$9)*$E167</f>
        <v>0</v>
      </c>
      <c r="H167" s="1">
        <f>VLOOKUP($F167,AF!$B$39:$M$80,H$9)*$E167</f>
        <v>0</v>
      </c>
      <c r="I167" s="1">
        <f>VLOOKUP($F167,AF!$B$39:$M$80,I$9)*$E167</f>
        <v>0</v>
      </c>
      <c r="J167" s="1">
        <f>VLOOKUP($F167,AF!$B$39:$M$80,J$9)*$E167</f>
        <v>0</v>
      </c>
      <c r="K167" s="1">
        <f t="shared" ref="K167" si="225">E167-SUM(G167:J167)</f>
        <v>0</v>
      </c>
      <c r="L167" s="72">
        <f t="shared" si="211"/>
        <v>0</v>
      </c>
      <c r="N167" s="8">
        <v>203</v>
      </c>
      <c r="O167" s="1">
        <f>VLOOKUP($N167,AF!$B$39:$M$80,O$9)*$G167</f>
        <v>0</v>
      </c>
      <c r="P167" s="1">
        <f>VLOOKUP($N167,AF!$B$39:$M$80,P$9)*$G167</f>
        <v>0</v>
      </c>
      <c r="Q167" s="1">
        <f>VLOOKUP($N167,AF!$B$39:$M$80,Q$9)*$H167</f>
        <v>0</v>
      </c>
      <c r="R167" s="1">
        <f>VLOOKUP($N167,AF!$B$39:$M$80,R$9)*$H167</f>
        <v>0</v>
      </c>
      <c r="S167" s="1">
        <f>VLOOKUP($N167,AF!$B$39:$M$80,S$9)*$I167</f>
        <v>0</v>
      </c>
      <c r="T167" s="1">
        <f>VLOOKUP($N167,AF!$B$39:$M$80,T$9)*$I167</f>
        <v>0</v>
      </c>
      <c r="U167" s="1">
        <f>VLOOKUP($N167,AF!$B$39:$M$80,U$9)*$J167</f>
        <v>0</v>
      </c>
      <c r="V167" s="1">
        <f>VLOOKUP($N167,AF!$B$39:$M$80,V$9)*$J167</f>
        <v>0</v>
      </c>
      <c r="W167" s="1">
        <f t="shared" si="212"/>
        <v>0</v>
      </c>
      <c r="Y167" s="1">
        <f t="shared" si="213"/>
        <v>0</v>
      </c>
      <c r="Z167" s="1">
        <f t="shared" si="214"/>
        <v>0</v>
      </c>
      <c r="AA167" s="1">
        <f t="shared" si="215"/>
        <v>0</v>
      </c>
      <c r="AB167" s="72">
        <f t="shared" si="216"/>
        <v>0</v>
      </c>
      <c r="AD167" s="72">
        <v>302</v>
      </c>
      <c r="AE167" s="1">
        <f>VLOOKUP($AD167,AF!$B$39:$M$80,AE$9)*$O167</f>
        <v>0</v>
      </c>
      <c r="AF167" s="1">
        <f>VLOOKUP($AD167,AF!$B$39:$M$80,AF$9)*$P167</f>
        <v>0</v>
      </c>
      <c r="AG167" s="1">
        <f>VLOOKUP($AD167,AF!$B$39:$M$80,AG$9)*$Q167</f>
        <v>0</v>
      </c>
      <c r="AH167" s="1">
        <f>VLOOKUP($AD167,AF!$B$39:$M$80,AH$9)*$R167</f>
        <v>0</v>
      </c>
      <c r="AI167" s="1">
        <f>VLOOKUP($AD167,AF!$B$39:$M$80,AI$9)*$S167</f>
        <v>0</v>
      </c>
      <c r="AJ167" s="1">
        <f>VLOOKUP($AD167,AF!$B$39:$M$80,AJ$9)*$T167</f>
        <v>0</v>
      </c>
      <c r="AK167" s="1">
        <f>VLOOKUP($AD167,AF!$B$39:$M$80,AK$9)*$U167</f>
        <v>0</v>
      </c>
      <c r="AL167" s="1">
        <f>VLOOKUP($AD167,AF!$B$39:$M$80,AL$9)*$V167</f>
        <v>0</v>
      </c>
      <c r="AM167" s="1">
        <f t="shared" si="217"/>
        <v>0</v>
      </c>
      <c r="AO167" s="1">
        <f t="shared" si="218"/>
        <v>0</v>
      </c>
      <c r="AP167" s="1">
        <f t="shared" si="219"/>
        <v>0</v>
      </c>
      <c r="AQ167" s="1">
        <f t="shared" si="220"/>
        <v>0</v>
      </c>
      <c r="AR167" s="72">
        <f t="shared" si="221"/>
        <v>0</v>
      </c>
    </row>
    <row r="168" spans="1:44" x14ac:dyDescent="0.45">
      <c r="A168" s="118">
        <f t="shared" si="186"/>
        <v>160</v>
      </c>
      <c r="B168" s="79" t="s">
        <v>641</v>
      </c>
      <c r="C168" s="79" t="s">
        <v>622</v>
      </c>
      <c r="D168" s="34"/>
      <c r="E168" s="17">
        <f>SUM(G168:K168)</f>
        <v>0</v>
      </c>
      <c r="F168" s="72">
        <v>100</v>
      </c>
      <c r="G168" s="25">
        <v>0</v>
      </c>
      <c r="H168" s="25">
        <v>0</v>
      </c>
      <c r="I168" s="25">
        <v>0</v>
      </c>
      <c r="J168" s="25">
        <v>0</v>
      </c>
      <c r="K168" s="25">
        <v>0</v>
      </c>
      <c r="L168" s="72">
        <f t="shared" si="211"/>
        <v>0</v>
      </c>
      <c r="N168" s="8">
        <v>203</v>
      </c>
      <c r="O168" s="1">
        <f>VLOOKUP($N168,AF!$B$39:$M$80,O$9)*$G168</f>
        <v>0</v>
      </c>
      <c r="P168" s="1">
        <f>VLOOKUP($N168,AF!$B$39:$M$80,P$9)*$G168</f>
        <v>0</v>
      </c>
      <c r="Q168" s="1">
        <f>VLOOKUP($N168,AF!$B$39:$M$80,Q$9)*$H168</f>
        <v>0</v>
      </c>
      <c r="R168" s="1">
        <f>VLOOKUP($N168,AF!$B$39:$M$80,R$9)*$H168</f>
        <v>0</v>
      </c>
      <c r="S168" s="1">
        <f>VLOOKUP($N168,AF!$B$39:$M$80,S$9)*$I168</f>
        <v>0</v>
      </c>
      <c r="T168" s="1">
        <f>VLOOKUP($N168,AF!$B$39:$M$80,T$9)*$I168</f>
        <v>0</v>
      </c>
      <c r="U168" s="1">
        <f>VLOOKUP($N168,AF!$B$39:$M$80,U$9)*$J168</f>
        <v>0</v>
      </c>
      <c r="V168" s="1">
        <f>VLOOKUP($N168,AF!$B$39:$M$80,V$9)*$J168</f>
        <v>0</v>
      </c>
      <c r="W168" s="1">
        <f t="shared" si="212"/>
        <v>0</v>
      </c>
      <c r="Y168" s="1">
        <f t="shared" si="213"/>
        <v>0</v>
      </c>
      <c r="Z168" s="1">
        <f t="shared" si="214"/>
        <v>0</v>
      </c>
      <c r="AA168" s="1">
        <f t="shared" si="215"/>
        <v>0</v>
      </c>
      <c r="AB168" s="72">
        <f t="shared" si="216"/>
        <v>0</v>
      </c>
      <c r="AD168" s="72">
        <v>302</v>
      </c>
      <c r="AE168" s="1">
        <f>VLOOKUP($AD168,AF!$B$39:$M$80,AE$9)*$O168</f>
        <v>0</v>
      </c>
      <c r="AF168" s="1">
        <f>VLOOKUP($AD168,AF!$B$39:$M$80,AF$9)*$P168</f>
        <v>0</v>
      </c>
      <c r="AG168" s="1">
        <f>VLOOKUP($AD168,AF!$B$39:$M$80,AG$9)*$Q168</f>
        <v>0</v>
      </c>
      <c r="AH168" s="1">
        <f>VLOOKUP($AD168,AF!$B$39:$M$80,AH$9)*$R168</f>
        <v>0</v>
      </c>
      <c r="AI168" s="1">
        <f>VLOOKUP($AD168,AF!$B$39:$M$80,AI$9)*$S168</f>
        <v>0</v>
      </c>
      <c r="AJ168" s="1">
        <f>VLOOKUP($AD168,AF!$B$39:$M$80,AJ$9)*$T168</f>
        <v>0</v>
      </c>
      <c r="AK168" s="1">
        <f>VLOOKUP($AD168,AF!$B$39:$M$80,AK$9)*$U168</f>
        <v>0</v>
      </c>
      <c r="AL168" s="1">
        <f>VLOOKUP($AD168,AF!$B$39:$M$80,AL$9)*$V168</f>
        <v>0</v>
      </c>
      <c r="AM168" s="1">
        <f t="shared" si="217"/>
        <v>0</v>
      </c>
      <c r="AO168" s="1">
        <f t="shared" si="218"/>
        <v>0</v>
      </c>
      <c r="AP168" s="1">
        <f t="shared" si="219"/>
        <v>0</v>
      </c>
      <c r="AQ168" s="1">
        <f t="shared" si="220"/>
        <v>0</v>
      </c>
      <c r="AR168" s="72">
        <f t="shared" si="221"/>
        <v>0</v>
      </c>
    </row>
    <row r="169" spans="1:44" x14ac:dyDescent="0.45">
      <c r="A169" s="118">
        <f t="shared" si="186"/>
        <v>161</v>
      </c>
      <c r="B169" s="79">
        <v>595</v>
      </c>
      <c r="C169" s="37" t="s">
        <v>326</v>
      </c>
      <c r="D169" s="34" t="s">
        <v>327</v>
      </c>
      <c r="E169" s="25">
        <v>0</v>
      </c>
      <c r="F169" s="72">
        <f>+F151</f>
        <v>101</v>
      </c>
      <c r="G169" s="1">
        <f>VLOOKUP($F169,AF!$B$39:$M$80,G$9)*$E169</f>
        <v>0</v>
      </c>
      <c r="H169" s="1">
        <f>VLOOKUP($F169,AF!$B$39:$M$80,H$9)*$E169</f>
        <v>0</v>
      </c>
      <c r="I169" s="1">
        <f>VLOOKUP($F169,AF!$B$39:$M$80,I$9)*$E169</f>
        <v>0</v>
      </c>
      <c r="J169" s="1">
        <f>VLOOKUP($F169,AF!$B$39:$M$80,J$9)*$E169</f>
        <v>0</v>
      </c>
      <c r="K169" s="1">
        <f t="shared" ref="K169" si="226">E169-SUM(G169:J169)</f>
        <v>0</v>
      </c>
      <c r="L169" s="72">
        <f t="shared" si="211"/>
        <v>0</v>
      </c>
      <c r="N169" s="8">
        <v>203</v>
      </c>
      <c r="O169" s="1">
        <f>VLOOKUP($N169,AF!$B$39:$M$80,O$9)*$G169</f>
        <v>0</v>
      </c>
      <c r="P169" s="1">
        <f>VLOOKUP($N169,AF!$B$39:$M$80,P$9)*$G169</f>
        <v>0</v>
      </c>
      <c r="Q169" s="1">
        <f>VLOOKUP($N169,AF!$B$39:$M$80,Q$9)*$H169</f>
        <v>0</v>
      </c>
      <c r="R169" s="1">
        <f>VLOOKUP($N169,AF!$B$39:$M$80,R$9)*$H169</f>
        <v>0</v>
      </c>
      <c r="S169" s="1">
        <f>VLOOKUP($N169,AF!$B$39:$M$80,S$9)*$I169</f>
        <v>0</v>
      </c>
      <c r="T169" s="1">
        <f>VLOOKUP($N169,AF!$B$39:$M$80,T$9)*$I169</f>
        <v>0</v>
      </c>
      <c r="U169" s="1">
        <f>VLOOKUP($N169,AF!$B$39:$M$80,U$9)*$J169</f>
        <v>0</v>
      </c>
      <c r="V169" s="1">
        <f>VLOOKUP($N169,AF!$B$39:$M$80,V$9)*$J169</f>
        <v>0</v>
      </c>
      <c r="W169" s="1">
        <f t="shared" si="212"/>
        <v>0</v>
      </c>
      <c r="Y169" s="1">
        <f t="shared" si="213"/>
        <v>0</v>
      </c>
      <c r="Z169" s="1">
        <f t="shared" si="214"/>
        <v>0</v>
      </c>
      <c r="AA169" s="1">
        <f t="shared" si="215"/>
        <v>0</v>
      </c>
      <c r="AB169" s="72">
        <f t="shared" si="216"/>
        <v>0</v>
      </c>
      <c r="AD169" s="72">
        <v>302</v>
      </c>
      <c r="AE169" s="1">
        <f>VLOOKUP($AD169,AF!$B$39:$M$80,AE$9)*$O169</f>
        <v>0</v>
      </c>
      <c r="AF169" s="1">
        <f>VLOOKUP($AD169,AF!$B$39:$M$80,AF$9)*$P169</f>
        <v>0</v>
      </c>
      <c r="AG169" s="1">
        <f>VLOOKUP($AD169,AF!$B$39:$M$80,AG$9)*$Q169</f>
        <v>0</v>
      </c>
      <c r="AH169" s="1">
        <f>VLOOKUP($AD169,AF!$B$39:$M$80,AH$9)*$R169</f>
        <v>0</v>
      </c>
      <c r="AI169" s="1">
        <f>VLOOKUP($AD169,AF!$B$39:$M$80,AI$9)*$S169</f>
        <v>0</v>
      </c>
      <c r="AJ169" s="1">
        <f>VLOOKUP($AD169,AF!$B$39:$M$80,AJ$9)*$T169</f>
        <v>0</v>
      </c>
      <c r="AK169" s="1">
        <f>VLOOKUP($AD169,AF!$B$39:$M$80,AK$9)*$U169</f>
        <v>0</v>
      </c>
      <c r="AL169" s="1">
        <f>VLOOKUP($AD169,AF!$B$39:$M$80,AL$9)*$V169</f>
        <v>0</v>
      </c>
      <c r="AM169" s="1">
        <f t="shared" si="217"/>
        <v>0</v>
      </c>
      <c r="AO169" s="1">
        <f t="shared" si="218"/>
        <v>0</v>
      </c>
      <c r="AP169" s="1">
        <f t="shared" si="219"/>
        <v>0</v>
      </c>
      <c r="AQ169" s="1">
        <f t="shared" si="220"/>
        <v>0</v>
      </c>
      <c r="AR169" s="72">
        <f t="shared" si="221"/>
        <v>0</v>
      </c>
    </row>
    <row r="170" spans="1:44" x14ac:dyDescent="0.45">
      <c r="A170" s="118">
        <f t="shared" si="186"/>
        <v>162</v>
      </c>
      <c r="B170" s="79" t="s">
        <v>642</v>
      </c>
      <c r="C170" s="79" t="s">
        <v>643</v>
      </c>
      <c r="D170" s="34"/>
      <c r="E170" s="17">
        <f>SUM(G170:K170)</f>
        <v>0</v>
      </c>
      <c r="F170" s="72">
        <v>100</v>
      </c>
      <c r="G170" s="25">
        <v>0</v>
      </c>
      <c r="H170" s="25">
        <v>0</v>
      </c>
      <c r="I170" s="25">
        <v>0</v>
      </c>
      <c r="J170" s="25">
        <v>0</v>
      </c>
      <c r="K170" s="25">
        <v>0</v>
      </c>
      <c r="L170" s="72">
        <f t="shared" si="211"/>
        <v>0</v>
      </c>
      <c r="N170" s="8">
        <v>203</v>
      </c>
      <c r="O170" s="1">
        <f>VLOOKUP($N170,AF!$B$39:$M$80,O$9)*$G170</f>
        <v>0</v>
      </c>
      <c r="P170" s="1">
        <f>VLOOKUP($N170,AF!$B$39:$M$80,P$9)*$G170</f>
        <v>0</v>
      </c>
      <c r="Q170" s="1">
        <f>VLOOKUP($N170,AF!$B$39:$M$80,Q$9)*$H170</f>
        <v>0</v>
      </c>
      <c r="R170" s="1">
        <f>VLOOKUP($N170,AF!$B$39:$M$80,R$9)*$H170</f>
        <v>0</v>
      </c>
      <c r="S170" s="1">
        <f>VLOOKUP($N170,AF!$B$39:$M$80,S$9)*$I170</f>
        <v>0</v>
      </c>
      <c r="T170" s="1">
        <f>VLOOKUP($N170,AF!$B$39:$M$80,T$9)*$I170</f>
        <v>0</v>
      </c>
      <c r="U170" s="1">
        <f>VLOOKUP($N170,AF!$B$39:$M$80,U$9)*$J170</f>
        <v>0</v>
      </c>
      <c r="V170" s="1">
        <f>VLOOKUP($N170,AF!$B$39:$M$80,V$9)*$J170</f>
        <v>0</v>
      </c>
      <c r="W170" s="1">
        <f t="shared" si="212"/>
        <v>0</v>
      </c>
      <c r="Y170" s="1">
        <f t="shared" si="213"/>
        <v>0</v>
      </c>
      <c r="Z170" s="1">
        <f t="shared" si="214"/>
        <v>0</v>
      </c>
      <c r="AA170" s="1">
        <f t="shared" si="215"/>
        <v>0</v>
      </c>
      <c r="AB170" s="72">
        <f t="shared" si="216"/>
        <v>0</v>
      </c>
      <c r="AD170" s="72">
        <v>302</v>
      </c>
      <c r="AE170" s="1">
        <f>VLOOKUP($AD170,AF!$B$39:$M$80,AE$9)*$O170</f>
        <v>0</v>
      </c>
      <c r="AF170" s="1">
        <f>VLOOKUP($AD170,AF!$B$39:$M$80,AF$9)*$P170</f>
        <v>0</v>
      </c>
      <c r="AG170" s="1">
        <f>VLOOKUP($AD170,AF!$B$39:$M$80,AG$9)*$Q170</f>
        <v>0</v>
      </c>
      <c r="AH170" s="1">
        <f>VLOOKUP($AD170,AF!$B$39:$M$80,AH$9)*$R170</f>
        <v>0</v>
      </c>
      <c r="AI170" s="1">
        <f>VLOOKUP($AD170,AF!$B$39:$M$80,AI$9)*$S170</f>
        <v>0</v>
      </c>
      <c r="AJ170" s="1">
        <f>VLOOKUP($AD170,AF!$B$39:$M$80,AJ$9)*$T170</f>
        <v>0</v>
      </c>
      <c r="AK170" s="1">
        <f>VLOOKUP($AD170,AF!$B$39:$M$80,AK$9)*$U170</f>
        <v>0</v>
      </c>
      <c r="AL170" s="1">
        <f>VLOOKUP($AD170,AF!$B$39:$M$80,AL$9)*$V170</f>
        <v>0</v>
      </c>
      <c r="AM170" s="1">
        <f t="shared" si="217"/>
        <v>0</v>
      </c>
      <c r="AO170" s="1">
        <f t="shared" si="218"/>
        <v>0</v>
      </c>
      <c r="AP170" s="1">
        <f t="shared" si="219"/>
        <v>0</v>
      </c>
      <c r="AQ170" s="1">
        <f t="shared" si="220"/>
        <v>0</v>
      </c>
      <c r="AR170" s="72">
        <f t="shared" si="221"/>
        <v>0</v>
      </c>
    </row>
    <row r="171" spans="1:44" x14ac:dyDescent="0.45">
      <c r="A171" s="118">
        <f t="shared" si="186"/>
        <v>163</v>
      </c>
      <c r="B171" s="57">
        <v>596</v>
      </c>
      <c r="C171" s="34" t="s">
        <v>328</v>
      </c>
      <c r="D171" s="34" t="s">
        <v>329</v>
      </c>
      <c r="E171" s="25">
        <v>0</v>
      </c>
      <c r="F171" s="72">
        <v>101</v>
      </c>
      <c r="G171" s="1">
        <f>VLOOKUP($F171,AF!$B$39:$M$80,G$9)*$E171</f>
        <v>0</v>
      </c>
      <c r="H171" s="1">
        <f>VLOOKUP($F171,AF!$B$39:$M$80,H$9)*$E171</f>
        <v>0</v>
      </c>
      <c r="I171" s="1">
        <f>VLOOKUP($F171,AF!$B$39:$M$80,I$9)*$E171</f>
        <v>0</v>
      </c>
      <c r="J171" s="1">
        <f>VLOOKUP($F171,AF!$B$39:$M$80,J$9)*$E171</f>
        <v>0</v>
      </c>
      <c r="K171" s="1">
        <f t="shared" ref="K171:K173" si="227">E171-SUM(G171:J171)</f>
        <v>0</v>
      </c>
      <c r="L171" s="72">
        <f t="shared" si="211"/>
        <v>0</v>
      </c>
      <c r="N171" s="8">
        <v>203</v>
      </c>
      <c r="O171" s="1">
        <f>VLOOKUP($N171,AF!$B$39:$M$80,O$9)*$G171</f>
        <v>0</v>
      </c>
      <c r="P171" s="1">
        <f>VLOOKUP($N171,AF!$B$39:$M$80,P$9)*$G171</f>
        <v>0</v>
      </c>
      <c r="Q171" s="1">
        <f>VLOOKUP($N171,AF!$B$39:$M$80,Q$9)*$H171</f>
        <v>0</v>
      </c>
      <c r="R171" s="1">
        <f>VLOOKUP($N171,AF!$B$39:$M$80,R$9)*$H171</f>
        <v>0</v>
      </c>
      <c r="S171" s="1">
        <f>VLOOKUP($N171,AF!$B$39:$M$80,S$9)*$I171</f>
        <v>0</v>
      </c>
      <c r="T171" s="1">
        <f>VLOOKUP($N171,AF!$B$39:$M$80,T$9)*$I171</f>
        <v>0</v>
      </c>
      <c r="U171" s="1">
        <f>VLOOKUP($N171,AF!$B$39:$M$80,U$9)*$J171</f>
        <v>0</v>
      </c>
      <c r="V171" s="1">
        <f>VLOOKUP($N171,AF!$B$39:$M$80,V$9)*$J171</f>
        <v>0</v>
      </c>
      <c r="W171" s="1">
        <f t="shared" si="212"/>
        <v>0</v>
      </c>
      <c r="Y171" s="1">
        <f t="shared" si="213"/>
        <v>0</v>
      </c>
      <c r="Z171" s="1">
        <f t="shared" si="214"/>
        <v>0</v>
      </c>
      <c r="AA171" s="1">
        <f t="shared" si="215"/>
        <v>0</v>
      </c>
      <c r="AB171" s="72">
        <f t="shared" si="216"/>
        <v>0</v>
      </c>
      <c r="AD171" s="72">
        <v>302</v>
      </c>
      <c r="AE171" s="1">
        <f>VLOOKUP($AD171,AF!$B$39:$M$80,AE$9)*$O171</f>
        <v>0</v>
      </c>
      <c r="AF171" s="1">
        <f>VLOOKUP($AD171,AF!$B$39:$M$80,AF$9)*$P171</f>
        <v>0</v>
      </c>
      <c r="AG171" s="1">
        <f>VLOOKUP($AD171,AF!$B$39:$M$80,AG$9)*$Q171</f>
        <v>0</v>
      </c>
      <c r="AH171" s="1">
        <f>VLOOKUP($AD171,AF!$B$39:$M$80,AH$9)*$R171</f>
        <v>0</v>
      </c>
      <c r="AI171" s="1">
        <f>VLOOKUP($AD171,AF!$B$39:$M$80,AI$9)*$S171</f>
        <v>0</v>
      </c>
      <c r="AJ171" s="1">
        <f>VLOOKUP($AD171,AF!$B$39:$M$80,AJ$9)*$T171</f>
        <v>0</v>
      </c>
      <c r="AK171" s="1">
        <f>VLOOKUP($AD171,AF!$B$39:$M$80,AK$9)*$U171</f>
        <v>0</v>
      </c>
      <c r="AL171" s="1">
        <f>VLOOKUP($AD171,AF!$B$39:$M$80,AL$9)*$V171</f>
        <v>0</v>
      </c>
      <c r="AM171" s="1">
        <f t="shared" si="217"/>
        <v>0</v>
      </c>
      <c r="AO171" s="1">
        <f t="shared" si="218"/>
        <v>0</v>
      </c>
      <c r="AP171" s="1">
        <f t="shared" si="219"/>
        <v>0</v>
      </c>
      <c r="AQ171" s="1">
        <f t="shared" si="220"/>
        <v>0</v>
      </c>
      <c r="AR171" s="72">
        <f t="shared" si="221"/>
        <v>0</v>
      </c>
    </row>
    <row r="172" spans="1:44" x14ac:dyDescent="0.45">
      <c r="A172" s="118">
        <f t="shared" si="186"/>
        <v>164</v>
      </c>
      <c r="B172" s="57">
        <v>597</v>
      </c>
      <c r="C172" s="34" t="s">
        <v>330</v>
      </c>
      <c r="D172" s="34" t="s">
        <v>331</v>
      </c>
      <c r="E172" s="25">
        <v>0</v>
      </c>
      <c r="F172" s="72">
        <v>101</v>
      </c>
      <c r="G172" s="1">
        <f>VLOOKUP($F172,AF!$B$39:$M$80,G$9)*$E172</f>
        <v>0</v>
      </c>
      <c r="H172" s="1">
        <f>VLOOKUP($F172,AF!$B$39:$M$80,H$9)*$E172</f>
        <v>0</v>
      </c>
      <c r="I172" s="1">
        <f>VLOOKUP($F172,AF!$B$39:$M$80,I$9)*$E172</f>
        <v>0</v>
      </c>
      <c r="J172" s="1">
        <f>VLOOKUP($F172,AF!$B$39:$M$80,J$9)*$E172</f>
        <v>0</v>
      </c>
      <c r="K172" s="1">
        <f t="shared" si="227"/>
        <v>0</v>
      </c>
      <c r="L172" s="72">
        <f t="shared" si="211"/>
        <v>0</v>
      </c>
      <c r="N172" s="8">
        <v>203</v>
      </c>
      <c r="O172" s="1">
        <f>VLOOKUP($N172,AF!$B$39:$M$80,O$9)*$G172</f>
        <v>0</v>
      </c>
      <c r="P172" s="1">
        <f>VLOOKUP($N172,AF!$B$39:$M$80,P$9)*$G172</f>
        <v>0</v>
      </c>
      <c r="Q172" s="1">
        <f>VLOOKUP($N172,AF!$B$39:$M$80,Q$9)*$H172</f>
        <v>0</v>
      </c>
      <c r="R172" s="1">
        <f>VLOOKUP($N172,AF!$B$39:$M$80,R$9)*$H172</f>
        <v>0</v>
      </c>
      <c r="S172" s="1">
        <f>VLOOKUP($N172,AF!$B$39:$M$80,S$9)*$I172</f>
        <v>0</v>
      </c>
      <c r="T172" s="1">
        <f>VLOOKUP($N172,AF!$B$39:$M$80,T$9)*$I172</f>
        <v>0</v>
      </c>
      <c r="U172" s="1">
        <f>VLOOKUP($N172,AF!$B$39:$M$80,U$9)*$J172</f>
        <v>0</v>
      </c>
      <c r="V172" s="1">
        <f>VLOOKUP($N172,AF!$B$39:$M$80,V$9)*$J172</f>
        <v>0</v>
      </c>
      <c r="W172" s="1">
        <f t="shared" si="212"/>
        <v>0</v>
      </c>
      <c r="Y172" s="1">
        <f t="shared" si="213"/>
        <v>0</v>
      </c>
      <c r="Z172" s="1">
        <f t="shared" si="214"/>
        <v>0</v>
      </c>
      <c r="AA172" s="1">
        <f t="shared" si="215"/>
        <v>0</v>
      </c>
      <c r="AB172" s="72">
        <f t="shared" si="216"/>
        <v>0</v>
      </c>
      <c r="AD172" s="72">
        <v>302</v>
      </c>
      <c r="AE172" s="1">
        <f>VLOOKUP($AD172,AF!$B$39:$M$80,AE$9)*$O172</f>
        <v>0</v>
      </c>
      <c r="AF172" s="1">
        <f>VLOOKUP($AD172,AF!$B$39:$M$80,AF$9)*$P172</f>
        <v>0</v>
      </c>
      <c r="AG172" s="1">
        <f>VLOOKUP($AD172,AF!$B$39:$M$80,AG$9)*$Q172</f>
        <v>0</v>
      </c>
      <c r="AH172" s="1">
        <f>VLOOKUP($AD172,AF!$B$39:$M$80,AH$9)*$R172</f>
        <v>0</v>
      </c>
      <c r="AI172" s="1">
        <f>VLOOKUP($AD172,AF!$B$39:$M$80,AI$9)*$S172</f>
        <v>0</v>
      </c>
      <c r="AJ172" s="1">
        <f>VLOOKUP($AD172,AF!$B$39:$M$80,AJ$9)*$T172</f>
        <v>0</v>
      </c>
      <c r="AK172" s="1">
        <f>VLOOKUP($AD172,AF!$B$39:$M$80,AK$9)*$U172</f>
        <v>0</v>
      </c>
      <c r="AL172" s="1">
        <f>VLOOKUP($AD172,AF!$B$39:$M$80,AL$9)*$V172</f>
        <v>0</v>
      </c>
      <c r="AM172" s="1">
        <f t="shared" si="217"/>
        <v>0</v>
      </c>
      <c r="AO172" s="1">
        <f t="shared" si="218"/>
        <v>0</v>
      </c>
      <c r="AP172" s="1">
        <f t="shared" si="219"/>
        <v>0</v>
      </c>
      <c r="AQ172" s="1">
        <f t="shared" si="220"/>
        <v>0</v>
      </c>
      <c r="AR172" s="72">
        <f t="shared" si="221"/>
        <v>0</v>
      </c>
    </row>
    <row r="173" spans="1:44" x14ac:dyDescent="0.45">
      <c r="A173" s="118">
        <f t="shared" si="186"/>
        <v>165</v>
      </c>
      <c r="B173" s="57">
        <v>598</v>
      </c>
      <c r="C173" s="34" t="s">
        <v>332</v>
      </c>
      <c r="D173" s="34" t="s">
        <v>333</v>
      </c>
      <c r="E173" s="25">
        <v>0</v>
      </c>
      <c r="F173" s="72">
        <v>101</v>
      </c>
      <c r="G173" s="1">
        <f>VLOOKUP($F173,AF!$B$39:$M$80,G$9)*$E173</f>
        <v>0</v>
      </c>
      <c r="H173" s="1">
        <f>VLOOKUP($F173,AF!$B$39:$M$80,H$9)*$E173</f>
        <v>0</v>
      </c>
      <c r="I173" s="1">
        <f>VLOOKUP($F173,AF!$B$39:$M$80,I$9)*$E173</f>
        <v>0</v>
      </c>
      <c r="J173" s="1">
        <f>VLOOKUP($F173,AF!$B$39:$M$80,J$9)*$E173</f>
        <v>0</v>
      </c>
      <c r="K173" s="1">
        <f t="shared" si="227"/>
        <v>0</v>
      </c>
      <c r="L173" s="72">
        <f t="shared" si="211"/>
        <v>0</v>
      </c>
      <c r="N173" s="8">
        <v>203</v>
      </c>
      <c r="O173" s="1">
        <f>VLOOKUP($N173,AF!$B$39:$M$80,O$9)*$G173</f>
        <v>0</v>
      </c>
      <c r="P173" s="1">
        <f>VLOOKUP($N173,AF!$B$39:$M$80,P$9)*$G173</f>
        <v>0</v>
      </c>
      <c r="Q173" s="1">
        <f>VLOOKUP($N173,AF!$B$39:$M$80,Q$9)*$H173</f>
        <v>0</v>
      </c>
      <c r="R173" s="1">
        <f>VLOOKUP($N173,AF!$B$39:$M$80,R$9)*$H173</f>
        <v>0</v>
      </c>
      <c r="S173" s="1">
        <f>VLOOKUP($N173,AF!$B$39:$M$80,S$9)*$I173</f>
        <v>0</v>
      </c>
      <c r="T173" s="1">
        <f>VLOOKUP($N173,AF!$B$39:$M$80,T$9)*$I173</f>
        <v>0</v>
      </c>
      <c r="U173" s="1">
        <f>VLOOKUP($N173,AF!$B$39:$M$80,U$9)*$J173</f>
        <v>0</v>
      </c>
      <c r="V173" s="1">
        <f>VLOOKUP($N173,AF!$B$39:$M$80,V$9)*$J173</f>
        <v>0</v>
      </c>
      <c r="W173" s="1">
        <f t="shared" si="212"/>
        <v>0</v>
      </c>
      <c r="Y173" s="1">
        <f t="shared" si="213"/>
        <v>0</v>
      </c>
      <c r="Z173" s="1">
        <f t="shared" si="214"/>
        <v>0</v>
      </c>
      <c r="AA173" s="1">
        <f t="shared" si="215"/>
        <v>0</v>
      </c>
      <c r="AB173" s="72">
        <f t="shared" si="216"/>
        <v>0</v>
      </c>
      <c r="AD173" s="72">
        <v>302</v>
      </c>
      <c r="AE173" s="1">
        <f>VLOOKUP($AD173,AF!$B$39:$M$80,AE$9)*$O173</f>
        <v>0</v>
      </c>
      <c r="AF173" s="1">
        <f>VLOOKUP($AD173,AF!$B$39:$M$80,AF$9)*$P173</f>
        <v>0</v>
      </c>
      <c r="AG173" s="1">
        <f>VLOOKUP($AD173,AF!$B$39:$M$80,AG$9)*$Q173</f>
        <v>0</v>
      </c>
      <c r="AH173" s="1">
        <f>VLOOKUP($AD173,AF!$B$39:$M$80,AH$9)*$R173</f>
        <v>0</v>
      </c>
      <c r="AI173" s="1">
        <f>VLOOKUP($AD173,AF!$B$39:$M$80,AI$9)*$S173</f>
        <v>0</v>
      </c>
      <c r="AJ173" s="1">
        <f>VLOOKUP($AD173,AF!$B$39:$M$80,AJ$9)*$T173</f>
        <v>0</v>
      </c>
      <c r="AK173" s="1">
        <f>VLOOKUP($AD173,AF!$B$39:$M$80,AK$9)*$U173</f>
        <v>0</v>
      </c>
      <c r="AL173" s="1">
        <f>VLOOKUP($AD173,AF!$B$39:$M$80,AL$9)*$V173</f>
        <v>0</v>
      </c>
      <c r="AM173" s="1">
        <f t="shared" si="217"/>
        <v>0</v>
      </c>
      <c r="AO173" s="1">
        <f t="shared" si="218"/>
        <v>0</v>
      </c>
      <c r="AP173" s="1">
        <f t="shared" si="219"/>
        <v>0</v>
      </c>
      <c r="AQ173" s="1">
        <f t="shared" si="220"/>
        <v>0</v>
      </c>
      <c r="AR173" s="72">
        <f t="shared" si="221"/>
        <v>0</v>
      </c>
    </row>
    <row r="174" spans="1:44" x14ac:dyDescent="0.45">
      <c r="A174" s="118">
        <f t="shared" si="186"/>
        <v>166</v>
      </c>
      <c r="B174" s="34"/>
      <c r="C174" s="34" t="s">
        <v>0</v>
      </c>
      <c r="D174" s="34"/>
      <c r="E174" s="33">
        <f>SUM(E159:E173)</f>
        <v>1108153</v>
      </c>
      <c r="F174" s="72"/>
      <c r="G174" s="33">
        <f t="shared" ref="G174:K174" si="228">SUM(G159:G173)</f>
        <v>12292.35</v>
      </c>
      <c r="H174" s="33">
        <f t="shared" si="228"/>
        <v>2843.4</v>
      </c>
      <c r="I174" s="33">
        <f t="shared" si="228"/>
        <v>1093017.1200000001</v>
      </c>
      <c r="J174" s="33">
        <f t="shared" si="228"/>
        <v>0</v>
      </c>
      <c r="K174" s="33">
        <f t="shared" si="228"/>
        <v>0.12999999988824129</v>
      </c>
      <c r="L174" s="72">
        <f t="shared" si="211"/>
        <v>0</v>
      </c>
      <c r="N174" s="72"/>
      <c r="O174" s="33">
        <f t="shared" ref="O174:W174" si="229">SUM(O159:O173)</f>
        <v>2823.7931235295714</v>
      </c>
      <c r="P174" s="33">
        <f t="shared" si="229"/>
        <v>9468.5568764704294</v>
      </c>
      <c r="Q174" s="33">
        <f t="shared" si="229"/>
        <v>2843.4</v>
      </c>
      <c r="R174" s="33">
        <f t="shared" si="229"/>
        <v>0</v>
      </c>
      <c r="S174" s="33">
        <f t="shared" si="229"/>
        <v>1093017.1200000001</v>
      </c>
      <c r="T174" s="33">
        <f t="shared" si="229"/>
        <v>0</v>
      </c>
      <c r="U174" s="33">
        <f t="shared" si="229"/>
        <v>0</v>
      </c>
      <c r="V174" s="33">
        <f t="shared" si="229"/>
        <v>0</v>
      </c>
      <c r="W174" s="33">
        <f t="shared" si="229"/>
        <v>0.12999999988824129</v>
      </c>
      <c r="Y174" s="33">
        <f t="shared" ref="Y174:AA174" si="230">SUM(Y159:Y173)</f>
        <v>1098684.3131235298</v>
      </c>
      <c r="Z174" s="33">
        <f t="shared" si="230"/>
        <v>9468.5568764704294</v>
      </c>
      <c r="AA174" s="33">
        <f t="shared" si="230"/>
        <v>1108153</v>
      </c>
      <c r="AB174" s="72">
        <f t="shared" si="216"/>
        <v>0</v>
      </c>
      <c r="AD174" s="72"/>
      <c r="AE174" s="33">
        <f t="shared" ref="AE174:AM174" si="231">SUM(AE159:AE173)</f>
        <v>255.5532776794262</v>
      </c>
      <c r="AF174" s="33">
        <f t="shared" si="231"/>
        <v>856.90439732057382</v>
      </c>
      <c r="AG174" s="33">
        <f t="shared" si="231"/>
        <v>257.32769999999999</v>
      </c>
      <c r="AH174" s="33">
        <f t="shared" si="231"/>
        <v>0</v>
      </c>
      <c r="AI174" s="33">
        <f t="shared" si="231"/>
        <v>98918.049360000005</v>
      </c>
      <c r="AJ174" s="33">
        <f t="shared" si="231"/>
        <v>0</v>
      </c>
      <c r="AK174" s="33">
        <f t="shared" si="231"/>
        <v>0</v>
      </c>
      <c r="AL174" s="33">
        <f t="shared" si="231"/>
        <v>0</v>
      </c>
      <c r="AM174" s="33">
        <f t="shared" si="231"/>
        <v>1007865.165265</v>
      </c>
      <c r="AO174" s="33">
        <f t="shared" ref="AO174:AQ174" si="232">SUM(AO159:AO173)</f>
        <v>99430.930337679427</v>
      </c>
      <c r="AP174" s="33">
        <f t="shared" si="232"/>
        <v>856.90439732057382</v>
      </c>
      <c r="AQ174" s="33">
        <f t="shared" si="232"/>
        <v>1108153</v>
      </c>
      <c r="AR174" s="72">
        <f t="shared" si="221"/>
        <v>0</v>
      </c>
    </row>
    <row r="175" spans="1:44" x14ac:dyDescent="0.45">
      <c r="A175" s="118">
        <f t="shared" si="186"/>
        <v>167</v>
      </c>
      <c r="B175" s="34"/>
      <c r="C175" s="34"/>
      <c r="D175" s="34"/>
      <c r="E175" s="31"/>
      <c r="F175" s="72"/>
      <c r="G175" s="31"/>
      <c r="H175" s="31"/>
      <c r="I175" s="31"/>
      <c r="J175" s="31"/>
      <c r="K175" s="31"/>
      <c r="L175" s="72"/>
      <c r="N175" s="72"/>
      <c r="O175" s="31"/>
      <c r="P175" s="31"/>
      <c r="Q175" s="31"/>
      <c r="R175" s="31"/>
      <c r="S175" s="31"/>
      <c r="T175" s="31"/>
      <c r="U175" s="31"/>
      <c r="V175" s="31"/>
      <c r="W175" s="31"/>
      <c r="Y175" s="31"/>
      <c r="Z175" s="31"/>
      <c r="AA175" s="31"/>
      <c r="AB175" s="72"/>
      <c r="AD175" s="72"/>
      <c r="AE175" s="31"/>
      <c r="AF175" s="31"/>
      <c r="AG175" s="31"/>
      <c r="AH175" s="31"/>
      <c r="AI175" s="31"/>
      <c r="AJ175" s="31"/>
      <c r="AK175" s="31"/>
      <c r="AL175" s="31"/>
      <c r="AM175" s="31"/>
      <c r="AO175" s="31"/>
      <c r="AP175" s="31"/>
      <c r="AQ175" s="31"/>
      <c r="AR175" s="72"/>
    </row>
    <row r="176" spans="1:44" ht="14.65" thickBot="1" x14ac:dyDescent="0.5">
      <c r="A176" s="118">
        <f t="shared" si="186"/>
        <v>168</v>
      </c>
      <c r="B176" s="34" t="s">
        <v>404</v>
      </c>
      <c r="C176" s="34"/>
      <c r="D176" s="34"/>
      <c r="E176" s="62">
        <f>+E156+E174</f>
        <v>1718629</v>
      </c>
      <c r="F176" s="72"/>
      <c r="G176" s="62">
        <f t="shared" ref="G176:K176" si="233">+G156+G174</f>
        <v>110482.33</v>
      </c>
      <c r="H176" s="62">
        <f t="shared" si="233"/>
        <v>6236.02</v>
      </c>
      <c r="I176" s="62">
        <f t="shared" si="233"/>
        <v>1187171.33</v>
      </c>
      <c r="J176" s="62">
        <f t="shared" si="233"/>
        <v>0</v>
      </c>
      <c r="K176" s="62">
        <f t="shared" si="233"/>
        <v>414739.31999999995</v>
      </c>
      <c r="L176" s="72"/>
      <c r="N176" s="72"/>
      <c r="O176" s="62">
        <f t="shared" ref="O176:W176" si="234">+O156+O174</f>
        <v>25379.951248176701</v>
      </c>
      <c r="P176" s="62">
        <f t="shared" si="234"/>
        <v>85102.3787518233</v>
      </c>
      <c r="Q176" s="62">
        <f t="shared" si="234"/>
        <v>6236.02</v>
      </c>
      <c r="R176" s="62">
        <f t="shared" si="234"/>
        <v>0</v>
      </c>
      <c r="S176" s="62">
        <f t="shared" si="234"/>
        <v>1187171.33</v>
      </c>
      <c r="T176" s="62">
        <f t="shared" si="234"/>
        <v>0</v>
      </c>
      <c r="U176" s="62">
        <f t="shared" si="234"/>
        <v>0</v>
      </c>
      <c r="V176" s="62">
        <f t="shared" si="234"/>
        <v>0</v>
      </c>
      <c r="W176" s="62">
        <f t="shared" si="234"/>
        <v>414739.31999999989</v>
      </c>
      <c r="Y176" s="62">
        <f t="shared" ref="Y176:AA176" si="235">+Y156+Y174</f>
        <v>1218787.301248177</v>
      </c>
      <c r="Z176" s="62">
        <f t="shared" si="235"/>
        <v>85102.3787518233</v>
      </c>
      <c r="AA176" s="62">
        <f t="shared" si="235"/>
        <v>1718629</v>
      </c>
      <c r="AB176" s="72">
        <f t="shared" si="216"/>
        <v>0</v>
      </c>
      <c r="AD176" s="72"/>
      <c r="AE176" s="62">
        <f t="shared" ref="AE176:AM176" si="236">+AE156+AE174</f>
        <v>2296.8855879599914</v>
      </c>
      <c r="AF176" s="62">
        <f t="shared" si="236"/>
        <v>7701.7652770400073</v>
      </c>
      <c r="AG176" s="62">
        <f t="shared" si="236"/>
        <v>564.35980999999992</v>
      </c>
      <c r="AH176" s="62">
        <f t="shared" si="236"/>
        <v>0</v>
      </c>
      <c r="AI176" s="62">
        <f t="shared" si="236"/>
        <v>107439.005365</v>
      </c>
      <c r="AJ176" s="62">
        <f t="shared" si="236"/>
        <v>0</v>
      </c>
      <c r="AK176" s="62">
        <f t="shared" si="236"/>
        <v>0</v>
      </c>
      <c r="AL176" s="62">
        <f t="shared" si="236"/>
        <v>0</v>
      </c>
      <c r="AM176" s="62">
        <f t="shared" si="236"/>
        <v>1600626.9839599999</v>
      </c>
      <c r="AO176" s="62">
        <f t="shared" ref="AO176:AQ176" si="237">+AO156+AO174</f>
        <v>110300.25076295999</v>
      </c>
      <c r="AP176" s="62">
        <f t="shared" si="237"/>
        <v>7701.7652770400073</v>
      </c>
      <c r="AQ176" s="62">
        <f t="shared" si="237"/>
        <v>1718629</v>
      </c>
      <c r="AR176" s="72">
        <f t="shared" si="221"/>
        <v>0</v>
      </c>
    </row>
    <row r="177" spans="1:44" ht="14.65" thickTop="1" x14ac:dyDescent="0.45">
      <c r="A177" s="118">
        <f t="shared" si="186"/>
        <v>169</v>
      </c>
      <c r="B177" s="34"/>
      <c r="C177" s="34"/>
      <c r="D177" s="34"/>
      <c r="E177" s="34"/>
      <c r="F177" s="74"/>
      <c r="G177" s="88"/>
      <c r="H177" s="88"/>
      <c r="I177" s="88"/>
      <c r="J177" s="88"/>
      <c r="K177" s="88"/>
      <c r="L177" s="74"/>
      <c r="N177" s="74"/>
      <c r="O177" s="88"/>
      <c r="P177" s="88"/>
      <c r="Q177" s="88"/>
      <c r="R177" s="88"/>
      <c r="S177" s="88"/>
      <c r="T177" s="88"/>
      <c r="U177" s="88"/>
      <c r="V177" s="88"/>
      <c r="W177" s="88"/>
      <c r="Y177" s="88"/>
      <c r="Z177" s="88"/>
      <c r="AA177" s="88"/>
      <c r="AB177" s="74"/>
      <c r="AD177" s="74"/>
      <c r="AE177" s="88"/>
      <c r="AF177" s="88"/>
      <c r="AG177" s="88"/>
      <c r="AH177" s="88"/>
      <c r="AI177" s="88"/>
      <c r="AJ177" s="88"/>
      <c r="AK177" s="88"/>
      <c r="AL177" s="88"/>
      <c r="AM177" s="88"/>
      <c r="AO177" s="88"/>
      <c r="AP177" s="88"/>
      <c r="AQ177" s="88"/>
      <c r="AR177" s="74"/>
    </row>
    <row r="178" spans="1:44" x14ac:dyDescent="0.45">
      <c r="A178" s="118">
        <f t="shared" si="186"/>
        <v>170</v>
      </c>
      <c r="B178" s="35" t="s">
        <v>334</v>
      </c>
      <c r="C178" s="35"/>
      <c r="D178" s="34"/>
      <c r="E178" s="34"/>
      <c r="F178" s="74"/>
      <c r="G178" s="88"/>
      <c r="H178" s="88"/>
      <c r="I178" s="88"/>
      <c r="J178" s="88"/>
      <c r="K178" s="88"/>
      <c r="L178" s="74"/>
      <c r="N178" s="74"/>
      <c r="O178" s="88"/>
      <c r="P178" s="88"/>
      <c r="Q178" s="88"/>
      <c r="R178" s="88"/>
      <c r="S178" s="88"/>
      <c r="T178" s="88"/>
      <c r="U178" s="88"/>
      <c r="V178" s="88"/>
      <c r="W178" s="88"/>
      <c r="Y178" s="88"/>
      <c r="Z178" s="88"/>
      <c r="AA178" s="88"/>
      <c r="AB178" s="74"/>
      <c r="AD178" s="74"/>
      <c r="AE178" s="88"/>
      <c r="AF178" s="88"/>
      <c r="AG178" s="88"/>
      <c r="AH178" s="88"/>
      <c r="AI178" s="88"/>
      <c r="AJ178" s="88"/>
      <c r="AK178" s="88"/>
      <c r="AL178" s="88"/>
      <c r="AM178" s="88"/>
      <c r="AO178" s="88"/>
      <c r="AP178" s="88"/>
      <c r="AQ178" s="88"/>
      <c r="AR178" s="74"/>
    </row>
    <row r="179" spans="1:44" x14ac:dyDescent="0.45">
      <c r="A179" s="118">
        <f t="shared" si="186"/>
        <v>171</v>
      </c>
      <c r="B179" s="79">
        <v>901</v>
      </c>
      <c r="C179" s="37" t="s">
        <v>335</v>
      </c>
      <c r="D179" s="34" t="s">
        <v>336</v>
      </c>
      <c r="E179" s="25">
        <v>83513</v>
      </c>
      <c r="F179" s="8">
        <v>101</v>
      </c>
      <c r="G179" s="1">
        <f>VLOOKUP($F179,AF!$B$39:$M$80,G$9)*$E179</f>
        <v>0</v>
      </c>
      <c r="H179" s="1">
        <f>VLOOKUP($F179,AF!$B$39:$M$80,H$9)*$E179</f>
        <v>0</v>
      </c>
      <c r="I179" s="1">
        <f>VLOOKUP($F179,AF!$B$39:$M$80,I$9)*$E179</f>
        <v>0</v>
      </c>
      <c r="J179" s="1">
        <f>VLOOKUP($F179,AF!$B$39:$M$80,J$9)*$E179</f>
        <v>0</v>
      </c>
      <c r="K179" s="1">
        <f t="shared" ref="K179:K183" si="238">E179-SUM(G179:J179)</f>
        <v>83513</v>
      </c>
      <c r="L179" s="72">
        <f t="shared" ref="L179:L184" si="239">$E179-SUM(G179:K179)</f>
        <v>0</v>
      </c>
      <c r="N179" s="8">
        <v>206</v>
      </c>
      <c r="O179" s="1">
        <f>VLOOKUP($N179,AF!$B$39:$M$80,O$9)*$G179</f>
        <v>0</v>
      </c>
      <c r="P179" s="1">
        <f>VLOOKUP($N179,AF!$B$39:$M$80,P$9)*$G179</f>
        <v>0</v>
      </c>
      <c r="Q179" s="1">
        <f>VLOOKUP($N179,AF!$B$39:$M$80,Q$9)*$H179</f>
        <v>0</v>
      </c>
      <c r="R179" s="1">
        <f>VLOOKUP($N179,AF!$B$39:$M$80,R$9)*$H179</f>
        <v>0</v>
      </c>
      <c r="S179" s="1">
        <f>VLOOKUP($N179,AF!$B$39:$M$80,S$9)*$I179</f>
        <v>0</v>
      </c>
      <c r="T179" s="1">
        <f>VLOOKUP($N179,AF!$B$39:$M$80,T$9)*$I179</f>
        <v>0</v>
      </c>
      <c r="U179" s="1">
        <f>VLOOKUP($N179,AF!$B$39:$M$80,U$9)*$J179</f>
        <v>0</v>
      </c>
      <c r="V179" s="1">
        <f>VLOOKUP($N179,AF!$B$39:$M$80,V$9)*$J179</f>
        <v>0</v>
      </c>
      <c r="W179" s="1">
        <f t="shared" ref="W179:W183" si="240">E179-SUM(O179:V179)</f>
        <v>83513</v>
      </c>
      <c r="Y179" s="1">
        <f t="shared" ref="Y179:Z183" si="241">+O179+Q179+S179+U179</f>
        <v>0</v>
      </c>
      <c r="Z179" s="1">
        <f t="shared" si="241"/>
        <v>0</v>
      </c>
      <c r="AA179" s="1">
        <f t="shared" ref="AA179:AA183" si="242">+Z179+Y179+W179</f>
        <v>83513</v>
      </c>
      <c r="AB179" s="72">
        <f t="shared" ref="AB179:AB184" si="243">$E179-AA179</f>
        <v>0</v>
      </c>
      <c r="AD179" s="72">
        <v>302</v>
      </c>
      <c r="AE179" s="1">
        <f>VLOOKUP($AD179,AF!$B$39:$M$80,AE$9)*$O179</f>
        <v>0</v>
      </c>
      <c r="AF179" s="1">
        <f>VLOOKUP($AD179,AF!$B$39:$M$80,AF$9)*$P179</f>
        <v>0</v>
      </c>
      <c r="AG179" s="1">
        <f>VLOOKUP($AD179,AF!$B$39:$M$80,AG$9)*$Q179</f>
        <v>0</v>
      </c>
      <c r="AH179" s="1">
        <f>VLOOKUP($AD179,AF!$B$39:$M$80,AH$9)*$R179</f>
        <v>0</v>
      </c>
      <c r="AI179" s="1">
        <f>VLOOKUP($AD179,AF!$B$39:$M$80,AI$9)*$S179</f>
        <v>0</v>
      </c>
      <c r="AJ179" s="1">
        <f>VLOOKUP($AD179,AF!$B$39:$M$80,AJ$9)*$T179</f>
        <v>0</v>
      </c>
      <c r="AK179" s="1">
        <f>VLOOKUP($AD179,AF!$B$39:$M$80,AK$9)*$U179</f>
        <v>0</v>
      </c>
      <c r="AL179" s="1">
        <f>VLOOKUP($AD179,AF!$B$39:$M$80,AL$9)*$V179</f>
        <v>0</v>
      </c>
      <c r="AM179" s="1">
        <f t="shared" ref="AM179:AM183" si="244">E179-SUM(AE179:AL179)</f>
        <v>83513</v>
      </c>
      <c r="AO179" s="1">
        <f t="shared" ref="AO179:AP183" si="245">+AE179+AG179+AI179+AK179</f>
        <v>0</v>
      </c>
      <c r="AP179" s="1">
        <f t="shared" si="245"/>
        <v>0</v>
      </c>
      <c r="AQ179" s="1">
        <f t="shared" ref="AQ179:AQ183" si="246">+AP179+AO179+AM179</f>
        <v>83513</v>
      </c>
      <c r="AR179" s="72">
        <f t="shared" ref="AR179:AR184" si="247">$E179-AQ179</f>
        <v>0</v>
      </c>
    </row>
    <row r="180" spans="1:44" x14ac:dyDescent="0.45">
      <c r="A180" s="118">
        <f t="shared" si="186"/>
        <v>172</v>
      </c>
      <c r="B180" s="57">
        <v>902</v>
      </c>
      <c r="C180" s="34" t="s">
        <v>337</v>
      </c>
      <c r="D180" s="34" t="s">
        <v>338</v>
      </c>
      <c r="E180" s="25">
        <v>0</v>
      </c>
      <c r="F180" s="8">
        <v>101</v>
      </c>
      <c r="G180" s="1">
        <f>VLOOKUP($F180,AF!$B$39:$M$80,G$9)*$E180</f>
        <v>0</v>
      </c>
      <c r="H180" s="1">
        <f>VLOOKUP($F180,AF!$B$39:$M$80,H$9)*$E180</f>
        <v>0</v>
      </c>
      <c r="I180" s="1">
        <f>VLOOKUP($F180,AF!$B$39:$M$80,I$9)*$E180</f>
        <v>0</v>
      </c>
      <c r="J180" s="1">
        <f>VLOOKUP($F180,AF!$B$39:$M$80,J$9)*$E180</f>
        <v>0</v>
      </c>
      <c r="K180" s="1">
        <f t="shared" si="238"/>
        <v>0</v>
      </c>
      <c r="L180" s="72">
        <f t="shared" si="239"/>
        <v>0</v>
      </c>
      <c r="N180" s="8">
        <v>206</v>
      </c>
      <c r="O180" s="1">
        <f>VLOOKUP($N180,AF!$B$39:$M$80,O$9)*$G180</f>
        <v>0</v>
      </c>
      <c r="P180" s="1">
        <f>VLOOKUP($N180,AF!$B$39:$M$80,P$9)*$G180</f>
        <v>0</v>
      </c>
      <c r="Q180" s="1">
        <f>VLOOKUP($N180,AF!$B$39:$M$80,Q$9)*$H180</f>
        <v>0</v>
      </c>
      <c r="R180" s="1">
        <f>VLOOKUP($N180,AF!$B$39:$M$80,R$9)*$H180</f>
        <v>0</v>
      </c>
      <c r="S180" s="1">
        <f>VLOOKUP($N180,AF!$B$39:$M$80,S$9)*$I180</f>
        <v>0</v>
      </c>
      <c r="T180" s="1">
        <f>VLOOKUP($N180,AF!$B$39:$M$80,T$9)*$I180</f>
        <v>0</v>
      </c>
      <c r="U180" s="1">
        <f>VLOOKUP($N180,AF!$B$39:$M$80,U$9)*$J180</f>
        <v>0</v>
      </c>
      <c r="V180" s="1">
        <f>VLOOKUP($N180,AF!$B$39:$M$80,V$9)*$J180</f>
        <v>0</v>
      </c>
      <c r="W180" s="1">
        <f t="shared" si="240"/>
        <v>0</v>
      </c>
      <c r="Y180" s="1">
        <f t="shared" si="241"/>
        <v>0</v>
      </c>
      <c r="Z180" s="1">
        <f t="shared" si="241"/>
        <v>0</v>
      </c>
      <c r="AA180" s="1">
        <f t="shared" si="242"/>
        <v>0</v>
      </c>
      <c r="AB180" s="72">
        <f t="shared" si="243"/>
        <v>0</v>
      </c>
      <c r="AD180" s="72">
        <v>302</v>
      </c>
      <c r="AE180" s="1">
        <f>VLOOKUP($AD180,AF!$B$39:$M$80,AE$9)*$O180</f>
        <v>0</v>
      </c>
      <c r="AF180" s="1">
        <f>VLOOKUP($AD180,AF!$B$39:$M$80,AF$9)*$P180</f>
        <v>0</v>
      </c>
      <c r="AG180" s="1">
        <f>VLOOKUP($AD180,AF!$B$39:$M$80,AG$9)*$Q180</f>
        <v>0</v>
      </c>
      <c r="AH180" s="1">
        <f>VLOOKUP($AD180,AF!$B$39:$M$80,AH$9)*$R180</f>
        <v>0</v>
      </c>
      <c r="AI180" s="1">
        <f>VLOOKUP($AD180,AF!$B$39:$M$80,AI$9)*$S180</f>
        <v>0</v>
      </c>
      <c r="AJ180" s="1">
        <f>VLOOKUP($AD180,AF!$B$39:$M$80,AJ$9)*$T180</f>
        <v>0</v>
      </c>
      <c r="AK180" s="1">
        <f>VLOOKUP($AD180,AF!$B$39:$M$80,AK$9)*$U180</f>
        <v>0</v>
      </c>
      <c r="AL180" s="1">
        <f>VLOOKUP($AD180,AF!$B$39:$M$80,AL$9)*$V180</f>
        <v>0</v>
      </c>
      <c r="AM180" s="1">
        <f t="shared" si="244"/>
        <v>0</v>
      </c>
      <c r="AO180" s="1">
        <f t="shared" si="245"/>
        <v>0</v>
      </c>
      <c r="AP180" s="1">
        <f t="shared" si="245"/>
        <v>0</v>
      </c>
      <c r="AQ180" s="1">
        <f t="shared" si="246"/>
        <v>0</v>
      </c>
      <c r="AR180" s="72">
        <f t="shared" si="247"/>
        <v>0</v>
      </c>
    </row>
    <row r="181" spans="1:44" x14ac:dyDescent="0.45">
      <c r="A181" s="118">
        <f t="shared" si="186"/>
        <v>173</v>
      </c>
      <c r="B181" s="57">
        <v>903</v>
      </c>
      <c r="C181" s="34" t="s">
        <v>339</v>
      </c>
      <c r="D181" s="34" t="s">
        <v>340</v>
      </c>
      <c r="E181" s="25">
        <v>328794</v>
      </c>
      <c r="F181" s="8">
        <v>101</v>
      </c>
      <c r="G181" s="1">
        <f>VLOOKUP($F181,AF!$B$39:$M$80,G$9)*$E181</f>
        <v>0</v>
      </c>
      <c r="H181" s="1">
        <f>VLOOKUP($F181,AF!$B$39:$M$80,H$9)*$E181</f>
        <v>0</v>
      </c>
      <c r="I181" s="1">
        <f>VLOOKUP($F181,AF!$B$39:$M$80,I$9)*$E181</f>
        <v>0</v>
      </c>
      <c r="J181" s="1">
        <f>VLOOKUP($F181,AF!$B$39:$M$80,J$9)*$E181</f>
        <v>0</v>
      </c>
      <c r="K181" s="1">
        <f t="shared" si="238"/>
        <v>328794</v>
      </c>
      <c r="L181" s="72">
        <f t="shared" si="239"/>
        <v>0</v>
      </c>
      <c r="N181" s="8">
        <v>206</v>
      </c>
      <c r="O181" s="1">
        <f>VLOOKUP($N181,AF!$B$39:$M$80,O$9)*$G181</f>
        <v>0</v>
      </c>
      <c r="P181" s="1">
        <f>VLOOKUP($N181,AF!$B$39:$M$80,P$9)*$G181</f>
        <v>0</v>
      </c>
      <c r="Q181" s="1">
        <f>VLOOKUP($N181,AF!$B$39:$M$80,Q$9)*$H181</f>
        <v>0</v>
      </c>
      <c r="R181" s="1">
        <f>VLOOKUP($N181,AF!$B$39:$M$80,R$9)*$H181</f>
        <v>0</v>
      </c>
      <c r="S181" s="1">
        <f>VLOOKUP($N181,AF!$B$39:$M$80,S$9)*$I181</f>
        <v>0</v>
      </c>
      <c r="T181" s="1">
        <f>VLOOKUP($N181,AF!$B$39:$M$80,T$9)*$I181</f>
        <v>0</v>
      </c>
      <c r="U181" s="1">
        <f>VLOOKUP($N181,AF!$B$39:$M$80,U$9)*$J181</f>
        <v>0</v>
      </c>
      <c r="V181" s="1">
        <f>VLOOKUP($N181,AF!$B$39:$M$80,V$9)*$J181</f>
        <v>0</v>
      </c>
      <c r="W181" s="1">
        <f t="shared" si="240"/>
        <v>328794</v>
      </c>
      <c r="Y181" s="1">
        <f t="shared" si="241"/>
        <v>0</v>
      </c>
      <c r="Z181" s="1">
        <f t="shared" si="241"/>
        <v>0</v>
      </c>
      <c r="AA181" s="1">
        <f t="shared" si="242"/>
        <v>328794</v>
      </c>
      <c r="AB181" s="72">
        <f t="shared" si="243"/>
        <v>0</v>
      </c>
      <c r="AD181" s="72">
        <v>302</v>
      </c>
      <c r="AE181" s="1">
        <f>VLOOKUP($AD181,AF!$B$39:$M$80,AE$9)*$O181</f>
        <v>0</v>
      </c>
      <c r="AF181" s="1">
        <f>VLOOKUP($AD181,AF!$B$39:$M$80,AF$9)*$P181</f>
        <v>0</v>
      </c>
      <c r="AG181" s="1">
        <f>VLOOKUP($AD181,AF!$B$39:$M$80,AG$9)*$Q181</f>
        <v>0</v>
      </c>
      <c r="AH181" s="1">
        <f>VLOOKUP($AD181,AF!$B$39:$M$80,AH$9)*$R181</f>
        <v>0</v>
      </c>
      <c r="AI181" s="1">
        <f>VLOOKUP($AD181,AF!$B$39:$M$80,AI$9)*$S181</f>
        <v>0</v>
      </c>
      <c r="AJ181" s="1">
        <f>VLOOKUP($AD181,AF!$B$39:$M$80,AJ$9)*$T181</f>
        <v>0</v>
      </c>
      <c r="AK181" s="1">
        <f>VLOOKUP($AD181,AF!$B$39:$M$80,AK$9)*$U181</f>
        <v>0</v>
      </c>
      <c r="AL181" s="1">
        <f>VLOOKUP($AD181,AF!$B$39:$M$80,AL$9)*$V181</f>
        <v>0</v>
      </c>
      <c r="AM181" s="1">
        <f t="shared" si="244"/>
        <v>328794</v>
      </c>
      <c r="AO181" s="1">
        <f t="shared" si="245"/>
        <v>0</v>
      </c>
      <c r="AP181" s="1">
        <f t="shared" si="245"/>
        <v>0</v>
      </c>
      <c r="AQ181" s="1">
        <f t="shared" si="246"/>
        <v>328794</v>
      </c>
      <c r="AR181" s="72">
        <f t="shared" si="247"/>
        <v>0</v>
      </c>
    </row>
    <row r="182" spans="1:44" x14ac:dyDescent="0.45">
      <c r="A182" s="118">
        <f t="shared" si="186"/>
        <v>174</v>
      </c>
      <c r="B182" s="57">
        <v>904</v>
      </c>
      <c r="C182" s="34" t="s">
        <v>341</v>
      </c>
      <c r="D182" s="34" t="s">
        <v>342</v>
      </c>
      <c r="E182" s="25">
        <v>0</v>
      </c>
      <c r="F182" s="8">
        <v>101</v>
      </c>
      <c r="G182" s="1">
        <f>VLOOKUP($F182,AF!$B$39:$M$80,G$9)*$E182</f>
        <v>0</v>
      </c>
      <c r="H182" s="1">
        <f>VLOOKUP($F182,AF!$B$39:$M$80,H$9)*$E182</f>
        <v>0</v>
      </c>
      <c r="I182" s="1">
        <f>VLOOKUP($F182,AF!$B$39:$M$80,I$9)*$E182</f>
        <v>0</v>
      </c>
      <c r="J182" s="1">
        <f>VLOOKUP($F182,AF!$B$39:$M$80,J$9)*$E182</f>
        <v>0</v>
      </c>
      <c r="K182" s="1">
        <f t="shared" si="238"/>
        <v>0</v>
      </c>
      <c r="L182" s="72">
        <f t="shared" si="239"/>
        <v>0</v>
      </c>
      <c r="N182" s="8">
        <v>206</v>
      </c>
      <c r="O182" s="1">
        <f>VLOOKUP($N182,AF!$B$39:$M$80,O$9)*$G182</f>
        <v>0</v>
      </c>
      <c r="P182" s="1">
        <f>VLOOKUP($N182,AF!$B$39:$M$80,P$9)*$G182</f>
        <v>0</v>
      </c>
      <c r="Q182" s="1">
        <f>VLOOKUP($N182,AF!$B$39:$M$80,Q$9)*$H182</f>
        <v>0</v>
      </c>
      <c r="R182" s="1">
        <f>VLOOKUP($N182,AF!$B$39:$M$80,R$9)*$H182</f>
        <v>0</v>
      </c>
      <c r="S182" s="1">
        <f>VLOOKUP($N182,AF!$B$39:$M$80,S$9)*$I182</f>
        <v>0</v>
      </c>
      <c r="T182" s="1">
        <f>VLOOKUP($N182,AF!$B$39:$M$80,T$9)*$I182</f>
        <v>0</v>
      </c>
      <c r="U182" s="1">
        <f>VLOOKUP($N182,AF!$B$39:$M$80,U$9)*$J182</f>
        <v>0</v>
      </c>
      <c r="V182" s="1">
        <f>VLOOKUP($N182,AF!$B$39:$M$80,V$9)*$J182</f>
        <v>0</v>
      </c>
      <c r="W182" s="1">
        <f t="shared" si="240"/>
        <v>0</v>
      </c>
      <c r="Y182" s="1">
        <f t="shared" si="241"/>
        <v>0</v>
      </c>
      <c r="Z182" s="1">
        <f t="shared" si="241"/>
        <v>0</v>
      </c>
      <c r="AA182" s="1">
        <f t="shared" si="242"/>
        <v>0</v>
      </c>
      <c r="AB182" s="72">
        <f t="shared" si="243"/>
        <v>0</v>
      </c>
      <c r="AD182" s="72">
        <v>302</v>
      </c>
      <c r="AE182" s="1">
        <f>VLOOKUP($AD182,AF!$B$39:$M$80,AE$9)*$O182</f>
        <v>0</v>
      </c>
      <c r="AF182" s="1">
        <f>VLOOKUP($AD182,AF!$B$39:$M$80,AF$9)*$P182</f>
        <v>0</v>
      </c>
      <c r="AG182" s="1">
        <f>VLOOKUP($AD182,AF!$B$39:$M$80,AG$9)*$Q182</f>
        <v>0</v>
      </c>
      <c r="AH182" s="1">
        <f>VLOOKUP($AD182,AF!$B$39:$M$80,AH$9)*$R182</f>
        <v>0</v>
      </c>
      <c r="AI182" s="1">
        <f>VLOOKUP($AD182,AF!$B$39:$M$80,AI$9)*$S182</f>
        <v>0</v>
      </c>
      <c r="AJ182" s="1">
        <f>VLOOKUP($AD182,AF!$B$39:$M$80,AJ$9)*$T182</f>
        <v>0</v>
      </c>
      <c r="AK182" s="1">
        <f>VLOOKUP($AD182,AF!$B$39:$M$80,AK$9)*$U182</f>
        <v>0</v>
      </c>
      <c r="AL182" s="1">
        <f>VLOOKUP($AD182,AF!$B$39:$M$80,AL$9)*$V182</f>
        <v>0</v>
      </c>
      <c r="AM182" s="1">
        <f t="shared" si="244"/>
        <v>0</v>
      </c>
      <c r="AO182" s="1">
        <f t="shared" si="245"/>
        <v>0</v>
      </c>
      <c r="AP182" s="1">
        <f t="shared" si="245"/>
        <v>0</v>
      </c>
      <c r="AQ182" s="1">
        <f t="shared" si="246"/>
        <v>0</v>
      </c>
      <c r="AR182" s="72">
        <f t="shared" si="247"/>
        <v>0</v>
      </c>
    </row>
    <row r="183" spans="1:44" x14ac:dyDescent="0.45">
      <c r="A183" s="118">
        <f t="shared" si="186"/>
        <v>175</v>
      </c>
      <c r="B183" s="57">
        <v>905</v>
      </c>
      <c r="C183" s="34" t="s">
        <v>343</v>
      </c>
      <c r="D183" s="34" t="s">
        <v>344</v>
      </c>
      <c r="E183" s="25">
        <v>0</v>
      </c>
      <c r="F183" s="8">
        <v>101</v>
      </c>
      <c r="G183" s="1">
        <f>VLOOKUP($F183,AF!$B$39:$M$80,G$9)*$E183</f>
        <v>0</v>
      </c>
      <c r="H183" s="1">
        <f>VLOOKUP($F183,AF!$B$39:$M$80,H$9)*$E183</f>
        <v>0</v>
      </c>
      <c r="I183" s="1">
        <f>VLOOKUP($F183,AF!$B$39:$M$80,I$9)*$E183</f>
        <v>0</v>
      </c>
      <c r="J183" s="1">
        <f>VLOOKUP($F183,AF!$B$39:$M$80,J$9)*$E183</f>
        <v>0</v>
      </c>
      <c r="K183" s="1">
        <f t="shared" si="238"/>
        <v>0</v>
      </c>
      <c r="L183" s="72">
        <f t="shared" si="239"/>
        <v>0</v>
      </c>
      <c r="N183" s="8">
        <v>206</v>
      </c>
      <c r="O183" s="1">
        <f>VLOOKUP($N183,AF!$B$39:$M$80,O$9)*$G183</f>
        <v>0</v>
      </c>
      <c r="P183" s="1">
        <f>VLOOKUP($N183,AF!$B$39:$M$80,P$9)*$G183</f>
        <v>0</v>
      </c>
      <c r="Q183" s="1">
        <f>VLOOKUP($N183,AF!$B$39:$M$80,Q$9)*$H183</f>
        <v>0</v>
      </c>
      <c r="R183" s="1">
        <f>VLOOKUP($N183,AF!$B$39:$M$80,R$9)*$H183</f>
        <v>0</v>
      </c>
      <c r="S183" s="1">
        <f>VLOOKUP($N183,AF!$B$39:$M$80,S$9)*$I183</f>
        <v>0</v>
      </c>
      <c r="T183" s="1">
        <f>VLOOKUP($N183,AF!$B$39:$M$80,T$9)*$I183</f>
        <v>0</v>
      </c>
      <c r="U183" s="1">
        <f>VLOOKUP($N183,AF!$B$39:$M$80,U$9)*$J183</f>
        <v>0</v>
      </c>
      <c r="V183" s="1">
        <f>VLOOKUP($N183,AF!$B$39:$M$80,V$9)*$J183</f>
        <v>0</v>
      </c>
      <c r="W183" s="1">
        <f t="shared" si="240"/>
        <v>0</v>
      </c>
      <c r="Y183" s="1">
        <f t="shared" si="241"/>
        <v>0</v>
      </c>
      <c r="Z183" s="1">
        <f t="shared" si="241"/>
        <v>0</v>
      </c>
      <c r="AA183" s="1">
        <f t="shared" si="242"/>
        <v>0</v>
      </c>
      <c r="AB183" s="72">
        <f t="shared" si="243"/>
        <v>0</v>
      </c>
      <c r="AD183" s="72">
        <v>302</v>
      </c>
      <c r="AE183" s="1">
        <f>VLOOKUP($AD183,AF!$B$39:$M$80,AE$9)*$O183</f>
        <v>0</v>
      </c>
      <c r="AF183" s="1">
        <f>VLOOKUP($AD183,AF!$B$39:$M$80,AF$9)*$P183</f>
        <v>0</v>
      </c>
      <c r="AG183" s="1">
        <f>VLOOKUP($AD183,AF!$B$39:$M$80,AG$9)*$Q183</f>
        <v>0</v>
      </c>
      <c r="AH183" s="1">
        <f>VLOOKUP($AD183,AF!$B$39:$M$80,AH$9)*$R183</f>
        <v>0</v>
      </c>
      <c r="AI183" s="1">
        <f>VLOOKUP($AD183,AF!$B$39:$M$80,AI$9)*$S183</f>
        <v>0</v>
      </c>
      <c r="AJ183" s="1">
        <f>VLOOKUP($AD183,AF!$B$39:$M$80,AJ$9)*$T183</f>
        <v>0</v>
      </c>
      <c r="AK183" s="1">
        <f>VLOOKUP($AD183,AF!$B$39:$M$80,AK$9)*$U183</f>
        <v>0</v>
      </c>
      <c r="AL183" s="1">
        <f>VLOOKUP($AD183,AF!$B$39:$M$80,AL$9)*$V183</f>
        <v>0</v>
      </c>
      <c r="AM183" s="1">
        <f t="shared" si="244"/>
        <v>0</v>
      </c>
      <c r="AO183" s="1">
        <f t="shared" si="245"/>
        <v>0</v>
      </c>
      <c r="AP183" s="1">
        <f t="shared" si="245"/>
        <v>0</v>
      </c>
      <c r="AQ183" s="1">
        <f t="shared" si="246"/>
        <v>0</v>
      </c>
      <c r="AR183" s="72">
        <f t="shared" si="247"/>
        <v>0</v>
      </c>
    </row>
    <row r="184" spans="1:44" x14ac:dyDescent="0.45">
      <c r="A184" s="118">
        <f t="shared" si="186"/>
        <v>176</v>
      </c>
      <c r="B184" s="34"/>
      <c r="C184" s="34" t="s">
        <v>0</v>
      </c>
      <c r="D184" s="34"/>
      <c r="E184" s="33">
        <f>SUM(E179:E183)</f>
        <v>412307</v>
      </c>
      <c r="F184" s="74"/>
      <c r="G184" s="33">
        <f t="shared" ref="G184:K184" si="248">SUM(G179:G183)</f>
        <v>0</v>
      </c>
      <c r="H184" s="33">
        <f t="shared" si="248"/>
        <v>0</v>
      </c>
      <c r="I184" s="33">
        <f t="shared" si="248"/>
        <v>0</v>
      </c>
      <c r="J184" s="33">
        <f t="shared" si="248"/>
        <v>0</v>
      </c>
      <c r="K184" s="33">
        <f t="shared" si="248"/>
        <v>412307</v>
      </c>
      <c r="L184" s="72">
        <f t="shared" si="239"/>
        <v>0</v>
      </c>
      <c r="N184" s="74"/>
      <c r="O184" s="33">
        <f t="shared" ref="O184:P184" si="249">SUM(O179:O183)</f>
        <v>0</v>
      </c>
      <c r="P184" s="33">
        <f t="shared" si="249"/>
        <v>0</v>
      </c>
      <c r="Q184" s="33">
        <f t="shared" ref="Q184:R184" si="250">SUM(Q179:Q183)</f>
        <v>0</v>
      </c>
      <c r="R184" s="33">
        <f t="shared" si="250"/>
        <v>0</v>
      </c>
      <c r="S184" s="33">
        <f t="shared" ref="S184:T184" si="251">SUM(S179:S183)</f>
        <v>0</v>
      </c>
      <c r="T184" s="33">
        <f t="shared" si="251"/>
        <v>0</v>
      </c>
      <c r="U184" s="33">
        <f t="shared" ref="U184:V184" si="252">SUM(U179:U183)</f>
        <v>0</v>
      </c>
      <c r="V184" s="33">
        <f t="shared" si="252"/>
        <v>0</v>
      </c>
      <c r="W184" s="33">
        <f t="shared" ref="W184" si="253">SUM(W179:W183)</f>
        <v>412307</v>
      </c>
      <c r="Y184" s="33">
        <f t="shared" ref="Y184:AA184" si="254">SUM(Y179:Y183)</f>
        <v>0</v>
      </c>
      <c r="Z184" s="33">
        <f t="shared" si="254"/>
        <v>0</v>
      </c>
      <c r="AA184" s="33">
        <f t="shared" si="254"/>
        <v>412307</v>
      </c>
      <c r="AB184" s="72">
        <f t="shared" si="243"/>
        <v>0</v>
      </c>
      <c r="AD184" s="74"/>
      <c r="AE184" s="33">
        <f t="shared" ref="AE184" si="255">SUM(AE179:AE183)</f>
        <v>0</v>
      </c>
      <c r="AF184" s="33">
        <f t="shared" ref="AF184" si="256">SUM(AF179:AF183)</f>
        <v>0</v>
      </c>
      <c r="AG184" s="33">
        <f t="shared" ref="AG184" si="257">SUM(AG179:AG183)</f>
        <v>0</v>
      </c>
      <c r="AH184" s="33">
        <f t="shared" ref="AH184" si="258">SUM(AH179:AH183)</f>
        <v>0</v>
      </c>
      <c r="AI184" s="33">
        <f t="shared" ref="AI184" si="259">SUM(AI179:AI183)</f>
        <v>0</v>
      </c>
      <c r="AJ184" s="33">
        <f t="shared" ref="AJ184" si="260">SUM(AJ179:AJ183)</f>
        <v>0</v>
      </c>
      <c r="AK184" s="33">
        <f t="shared" ref="AK184" si="261">SUM(AK179:AK183)</f>
        <v>0</v>
      </c>
      <c r="AL184" s="33">
        <f t="shared" ref="AL184" si="262">SUM(AL179:AL183)</f>
        <v>0</v>
      </c>
      <c r="AM184" s="33">
        <f t="shared" ref="AM184" si="263">SUM(AM179:AM183)</f>
        <v>412307</v>
      </c>
      <c r="AO184" s="33">
        <f t="shared" ref="AO184:AQ184" si="264">SUM(AO179:AO183)</f>
        <v>0</v>
      </c>
      <c r="AP184" s="33">
        <f t="shared" si="264"/>
        <v>0</v>
      </c>
      <c r="AQ184" s="33">
        <f t="shared" si="264"/>
        <v>412307</v>
      </c>
      <c r="AR184" s="72">
        <f t="shared" si="247"/>
        <v>0</v>
      </c>
    </row>
    <row r="185" spans="1:44" x14ac:dyDescent="0.45">
      <c r="A185" s="118">
        <f t="shared" si="186"/>
        <v>177</v>
      </c>
      <c r="B185" s="34"/>
      <c r="C185" s="34"/>
      <c r="D185" s="34"/>
      <c r="E185" s="34"/>
      <c r="G185" s="34"/>
      <c r="H185" s="34"/>
      <c r="I185" s="34"/>
      <c r="J185" s="34"/>
      <c r="K185" s="34"/>
      <c r="O185" s="34"/>
      <c r="P185" s="34"/>
      <c r="Q185" s="34"/>
      <c r="R185" s="34"/>
      <c r="S185" s="34"/>
      <c r="T185" s="34"/>
      <c r="U185" s="34"/>
      <c r="V185" s="34"/>
      <c r="W185" s="34"/>
      <c r="Y185" s="34"/>
      <c r="Z185" s="34"/>
      <c r="AA185" s="34"/>
      <c r="AE185" s="34"/>
      <c r="AF185" s="34"/>
      <c r="AG185" s="34"/>
      <c r="AH185" s="34"/>
      <c r="AI185" s="34"/>
      <c r="AJ185" s="34"/>
      <c r="AK185" s="34"/>
      <c r="AL185" s="34"/>
      <c r="AM185" s="34"/>
      <c r="AO185" s="34"/>
      <c r="AP185" s="34"/>
      <c r="AQ185" s="34"/>
    </row>
    <row r="186" spans="1:44" x14ac:dyDescent="0.45">
      <c r="A186" s="118">
        <f t="shared" si="186"/>
        <v>178</v>
      </c>
      <c r="B186" s="35" t="s">
        <v>345</v>
      </c>
      <c r="C186" s="35"/>
      <c r="D186" s="34"/>
      <c r="E186" s="34"/>
      <c r="G186" s="34"/>
      <c r="H186" s="34"/>
      <c r="I186" s="34"/>
      <c r="J186" s="34"/>
      <c r="K186" s="34"/>
      <c r="O186" s="34"/>
      <c r="P186" s="34"/>
      <c r="Q186" s="34"/>
      <c r="R186" s="34"/>
      <c r="S186" s="34"/>
      <c r="T186" s="34"/>
      <c r="U186" s="34"/>
      <c r="V186" s="34"/>
      <c r="W186" s="34"/>
      <c r="Y186" s="34"/>
      <c r="Z186" s="34"/>
      <c r="AA186" s="34"/>
      <c r="AE186" s="34"/>
      <c r="AF186" s="34"/>
      <c r="AG186" s="34"/>
      <c r="AH186" s="34"/>
      <c r="AI186" s="34"/>
      <c r="AJ186" s="34"/>
      <c r="AK186" s="34"/>
      <c r="AL186" s="34"/>
      <c r="AM186" s="34"/>
      <c r="AO186" s="34"/>
      <c r="AP186" s="34"/>
      <c r="AQ186" s="34"/>
    </row>
    <row r="187" spans="1:44" x14ac:dyDescent="0.45">
      <c r="A187" s="118">
        <f t="shared" si="186"/>
        <v>179</v>
      </c>
      <c r="B187" s="57">
        <v>907</v>
      </c>
      <c r="C187" s="34" t="s">
        <v>335</v>
      </c>
      <c r="D187" s="34" t="s">
        <v>346</v>
      </c>
      <c r="E187" s="25">
        <v>0</v>
      </c>
      <c r="F187" s="8">
        <v>101</v>
      </c>
      <c r="G187" s="1">
        <f>VLOOKUP($F187,AF!$B$39:$M$80,G$9)*$E187</f>
        <v>0</v>
      </c>
      <c r="H187" s="1">
        <f>VLOOKUP($F187,AF!$B$39:$M$80,H$9)*$E187</f>
        <v>0</v>
      </c>
      <c r="I187" s="1">
        <f>VLOOKUP($F187,AF!$B$39:$M$80,I$9)*$E187</f>
        <v>0</v>
      </c>
      <c r="J187" s="1">
        <f>VLOOKUP($F187,AF!$B$39:$M$80,J$9)*$E187</f>
        <v>0</v>
      </c>
      <c r="K187" s="1">
        <f t="shared" ref="K187:K190" si="265">E187-SUM(G187:J187)</f>
        <v>0</v>
      </c>
      <c r="L187" s="72">
        <f>$E187-SUM(G187:K187)</f>
        <v>0</v>
      </c>
      <c r="N187" s="8">
        <v>201</v>
      </c>
      <c r="O187" s="1">
        <f>VLOOKUP($N187,AF!$B$39:$M$80,O$9)*$G187</f>
        <v>0</v>
      </c>
      <c r="P187" s="1">
        <f>VLOOKUP($N187,AF!$B$39:$M$80,P$9)*$G187</f>
        <v>0</v>
      </c>
      <c r="Q187" s="1">
        <f>VLOOKUP($N187,AF!$B$39:$M$80,Q$9)*$H187</f>
        <v>0</v>
      </c>
      <c r="R187" s="1">
        <f>VLOOKUP($N187,AF!$B$39:$M$80,R$9)*$H187</f>
        <v>0</v>
      </c>
      <c r="S187" s="1">
        <f>VLOOKUP($N187,AF!$B$39:$M$80,S$9)*$I187</f>
        <v>0</v>
      </c>
      <c r="T187" s="1">
        <f>VLOOKUP($N187,AF!$B$39:$M$80,T$9)*$I187</f>
        <v>0</v>
      </c>
      <c r="U187" s="1">
        <f>VLOOKUP($N187,AF!$B$39:$M$80,U$9)*$J187</f>
        <v>0</v>
      </c>
      <c r="V187" s="1">
        <f>VLOOKUP($N187,AF!$B$39:$M$80,V$9)*$J187</f>
        <v>0</v>
      </c>
      <c r="W187" s="1">
        <f t="shared" ref="W187:W190" si="266">E187-SUM(O187:V187)</f>
        <v>0</v>
      </c>
      <c r="Y187" s="1">
        <f t="shared" ref="Y187:Z190" si="267">+O187+Q187+S187+U187</f>
        <v>0</v>
      </c>
      <c r="Z187" s="1">
        <f t="shared" si="267"/>
        <v>0</v>
      </c>
      <c r="AA187" s="1">
        <f t="shared" ref="AA187:AA190" si="268">+Z187+Y187+W187</f>
        <v>0</v>
      </c>
      <c r="AB187" s="72">
        <f t="shared" ref="AB187:AB191" si="269">$E187-AA187</f>
        <v>0</v>
      </c>
      <c r="AD187" s="72">
        <v>302</v>
      </c>
      <c r="AE187" s="1">
        <f>VLOOKUP($AD187,AF!$B$39:$M$80,AE$9)*$O187</f>
        <v>0</v>
      </c>
      <c r="AF187" s="1">
        <f>VLOOKUP($AD187,AF!$B$39:$M$80,AF$9)*$P187</f>
        <v>0</v>
      </c>
      <c r="AG187" s="1">
        <f>VLOOKUP($AD187,AF!$B$39:$M$80,AG$9)*$Q187</f>
        <v>0</v>
      </c>
      <c r="AH187" s="1">
        <f>VLOOKUP($AD187,AF!$B$39:$M$80,AH$9)*$R187</f>
        <v>0</v>
      </c>
      <c r="AI187" s="1">
        <f>VLOOKUP($AD187,AF!$B$39:$M$80,AI$9)*$S187</f>
        <v>0</v>
      </c>
      <c r="AJ187" s="1">
        <f>VLOOKUP($AD187,AF!$B$39:$M$80,AJ$9)*$T187</f>
        <v>0</v>
      </c>
      <c r="AK187" s="1">
        <f>VLOOKUP($AD187,AF!$B$39:$M$80,AK$9)*$U187</f>
        <v>0</v>
      </c>
      <c r="AL187" s="1">
        <f>VLOOKUP($AD187,AF!$B$39:$M$80,AL$9)*$V187</f>
        <v>0</v>
      </c>
      <c r="AM187" s="1">
        <f t="shared" ref="AM187:AM190" si="270">E187-SUM(AE187:AL187)</f>
        <v>0</v>
      </c>
      <c r="AO187" s="1">
        <f t="shared" ref="AO187:AP190" si="271">+AE187+AG187+AI187+AK187</f>
        <v>0</v>
      </c>
      <c r="AP187" s="1">
        <f t="shared" si="271"/>
        <v>0</v>
      </c>
      <c r="AQ187" s="1">
        <f t="shared" ref="AQ187:AQ190" si="272">+AP187+AO187+AM187</f>
        <v>0</v>
      </c>
      <c r="AR187" s="72">
        <f t="shared" ref="AR187:AR191" si="273">$E187-AQ187</f>
        <v>0</v>
      </c>
    </row>
    <row r="188" spans="1:44" x14ac:dyDescent="0.45">
      <c r="A188" s="118">
        <f t="shared" si="186"/>
        <v>180</v>
      </c>
      <c r="B188" s="57">
        <v>908</v>
      </c>
      <c r="C188" s="34" t="s">
        <v>337</v>
      </c>
      <c r="D188" s="34" t="s">
        <v>347</v>
      </c>
      <c r="E188" s="25">
        <v>0</v>
      </c>
      <c r="F188" s="8">
        <v>101</v>
      </c>
      <c r="G188" s="1">
        <f>VLOOKUP($F188,AF!$B$39:$M$80,G$9)*$E188</f>
        <v>0</v>
      </c>
      <c r="H188" s="1">
        <f>VLOOKUP($F188,AF!$B$39:$M$80,H$9)*$E188</f>
        <v>0</v>
      </c>
      <c r="I188" s="1">
        <f>VLOOKUP($F188,AF!$B$39:$M$80,I$9)*$E188</f>
        <v>0</v>
      </c>
      <c r="J188" s="1">
        <f>VLOOKUP($F188,AF!$B$39:$M$80,J$9)*$E188</f>
        <v>0</v>
      </c>
      <c r="K188" s="1">
        <f t="shared" si="265"/>
        <v>0</v>
      </c>
      <c r="L188" s="72">
        <f>$E188-SUM(G188:K188)</f>
        <v>0</v>
      </c>
      <c r="N188" s="8">
        <v>201</v>
      </c>
      <c r="O188" s="1">
        <f>VLOOKUP($N188,AF!$B$39:$M$80,O$9)*$G188</f>
        <v>0</v>
      </c>
      <c r="P188" s="1">
        <f>VLOOKUP($N188,AF!$B$39:$M$80,P$9)*$G188</f>
        <v>0</v>
      </c>
      <c r="Q188" s="1">
        <f>VLOOKUP($N188,AF!$B$39:$M$80,Q$9)*$H188</f>
        <v>0</v>
      </c>
      <c r="R188" s="1">
        <f>VLOOKUP($N188,AF!$B$39:$M$80,R$9)*$H188</f>
        <v>0</v>
      </c>
      <c r="S188" s="1">
        <f>VLOOKUP($N188,AF!$B$39:$M$80,S$9)*$I188</f>
        <v>0</v>
      </c>
      <c r="T188" s="1">
        <f>VLOOKUP($N188,AF!$B$39:$M$80,T$9)*$I188</f>
        <v>0</v>
      </c>
      <c r="U188" s="1">
        <f>VLOOKUP($N188,AF!$B$39:$M$80,U$9)*$J188</f>
        <v>0</v>
      </c>
      <c r="V188" s="1">
        <f>VLOOKUP($N188,AF!$B$39:$M$80,V$9)*$J188</f>
        <v>0</v>
      </c>
      <c r="W188" s="1">
        <f t="shared" si="266"/>
        <v>0</v>
      </c>
      <c r="Y188" s="1">
        <f t="shared" si="267"/>
        <v>0</v>
      </c>
      <c r="Z188" s="1">
        <f t="shared" si="267"/>
        <v>0</v>
      </c>
      <c r="AA188" s="1">
        <f t="shared" si="268"/>
        <v>0</v>
      </c>
      <c r="AB188" s="72">
        <f t="shared" si="269"/>
        <v>0</v>
      </c>
      <c r="AD188" s="72">
        <v>302</v>
      </c>
      <c r="AE188" s="1">
        <f>VLOOKUP($AD188,AF!$B$39:$M$80,AE$9)*$O188</f>
        <v>0</v>
      </c>
      <c r="AF188" s="1">
        <f>VLOOKUP($AD188,AF!$B$39:$M$80,AF$9)*$P188</f>
        <v>0</v>
      </c>
      <c r="AG188" s="1">
        <f>VLOOKUP($AD188,AF!$B$39:$M$80,AG$9)*$Q188</f>
        <v>0</v>
      </c>
      <c r="AH188" s="1">
        <f>VLOOKUP($AD188,AF!$B$39:$M$80,AH$9)*$R188</f>
        <v>0</v>
      </c>
      <c r="AI188" s="1">
        <f>VLOOKUP($AD188,AF!$B$39:$M$80,AI$9)*$S188</f>
        <v>0</v>
      </c>
      <c r="AJ188" s="1">
        <f>VLOOKUP($AD188,AF!$B$39:$M$80,AJ$9)*$T188</f>
        <v>0</v>
      </c>
      <c r="AK188" s="1">
        <f>VLOOKUP($AD188,AF!$B$39:$M$80,AK$9)*$U188</f>
        <v>0</v>
      </c>
      <c r="AL188" s="1">
        <f>VLOOKUP($AD188,AF!$B$39:$M$80,AL$9)*$V188</f>
        <v>0</v>
      </c>
      <c r="AM188" s="1">
        <f t="shared" si="270"/>
        <v>0</v>
      </c>
      <c r="AO188" s="1">
        <f t="shared" si="271"/>
        <v>0</v>
      </c>
      <c r="AP188" s="1">
        <f t="shared" si="271"/>
        <v>0</v>
      </c>
      <c r="AQ188" s="1">
        <f t="shared" si="272"/>
        <v>0</v>
      </c>
      <c r="AR188" s="72">
        <f t="shared" si="273"/>
        <v>0</v>
      </c>
    </row>
    <row r="189" spans="1:44" x14ac:dyDescent="0.45">
      <c r="A189" s="118">
        <f t="shared" si="186"/>
        <v>181</v>
      </c>
      <c r="B189" s="57">
        <v>909</v>
      </c>
      <c r="C189" s="34" t="s">
        <v>339</v>
      </c>
      <c r="D189" s="34" t="s">
        <v>348</v>
      </c>
      <c r="E189" s="25">
        <v>0</v>
      </c>
      <c r="F189" s="8">
        <v>101</v>
      </c>
      <c r="G189" s="1">
        <f>VLOOKUP($F189,AF!$B$39:$M$80,G$9)*$E189</f>
        <v>0</v>
      </c>
      <c r="H189" s="1">
        <f>VLOOKUP($F189,AF!$B$39:$M$80,H$9)*$E189</f>
        <v>0</v>
      </c>
      <c r="I189" s="1">
        <f>VLOOKUP($F189,AF!$B$39:$M$80,I$9)*$E189</f>
        <v>0</v>
      </c>
      <c r="J189" s="1">
        <f>VLOOKUP($F189,AF!$B$39:$M$80,J$9)*$E189</f>
        <v>0</v>
      </c>
      <c r="K189" s="1">
        <f t="shared" si="265"/>
        <v>0</v>
      </c>
      <c r="L189" s="72">
        <f>$E189-SUM(G189:K189)</f>
        <v>0</v>
      </c>
      <c r="N189" s="8">
        <v>201</v>
      </c>
      <c r="O189" s="1">
        <f>VLOOKUP($N189,AF!$B$39:$M$80,O$9)*$G189</f>
        <v>0</v>
      </c>
      <c r="P189" s="1">
        <f>VLOOKUP($N189,AF!$B$39:$M$80,P$9)*$G189</f>
        <v>0</v>
      </c>
      <c r="Q189" s="1">
        <f>VLOOKUP($N189,AF!$B$39:$M$80,Q$9)*$H189</f>
        <v>0</v>
      </c>
      <c r="R189" s="1">
        <f>VLOOKUP($N189,AF!$B$39:$M$80,R$9)*$H189</f>
        <v>0</v>
      </c>
      <c r="S189" s="1">
        <f>VLOOKUP($N189,AF!$B$39:$M$80,S$9)*$I189</f>
        <v>0</v>
      </c>
      <c r="T189" s="1">
        <f>VLOOKUP($N189,AF!$B$39:$M$80,T$9)*$I189</f>
        <v>0</v>
      </c>
      <c r="U189" s="1">
        <f>VLOOKUP($N189,AF!$B$39:$M$80,U$9)*$J189</f>
        <v>0</v>
      </c>
      <c r="V189" s="1">
        <f>VLOOKUP($N189,AF!$B$39:$M$80,V$9)*$J189</f>
        <v>0</v>
      </c>
      <c r="W189" s="1">
        <f t="shared" si="266"/>
        <v>0</v>
      </c>
      <c r="Y189" s="1">
        <f t="shared" si="267"/>
        <v>0</v>
      </c>
      <c r="Z189" s="1">
        <f t="shared" si="267"/>
        <v>0</v>
      </c>
      <c r="AA189" s="1">
        <f t="shared" si="268"/>
        <v>0</v>
      </c>
      <c r="AB189" s="72">
        <f t="shared" si="269"/>
        <v>0</v>
      </c>
      <c r="AD189" s="72">
        <v>302</v>
      </c>
      <c r="AE189" s="1">
        <f>VLOOKUP($AD189,AF!$B$39:$M$80,AE$9)*$O189</f>
        <v>0</v>
      </c>
      <c r="AF189" s="1">
        <f>VLOOKUP($AD189,AF!$B$39:$M$80,AF$9)*$P189</f>
        <v>0</v>
      </c>
      <c r="AG189" s="1">
        <f>VLOOKUP($AD189,AF!$B$39:$M$80,AG$9)*$Q189</f>
        <v>0</v>
      </c>
      <c r="AH189" s="1">
        <f>VLOOKUP($AD189,AF!$B$39:$M$80,AH$9)*$R189</f>
        <v>0</v>
      </c>
      <c r="AI189" s="1">
        <f>VLOOKUP($AD189,AF!$B$39:$M$80,AI$9)*$S189</f>
        <v>0</v>
      </c>
      <c r="AJ189" s="1">
        <f>VLOOKUP($AD189,AF!$B$39:$M$80,AJ$9)*$T189</f>
        <v>0</v>
      </c>
      <c r="AK189" s="1">
        <f>VLOOKUP($AD189,AF!$B$39:$M$80,AK$9)*$U189</f>
        <v>0</v>
      </c>
      <c r="AL189" s="1">
        <f>VLOOKUP($AD189,AF!$B$39:$M$80,AL$9)*$V189</f>
        <v>0</v>
      </c>
      <c r="AM189" s="1">
        <f t="shared" si="270"/>
        <v>0</v>
      </c>
      <c r="AO189" s="1">
        <f t="shared" si="271"/>
        <v>0</v>
      </c>
      <c r="AP189" s="1">
        <f t="shared" si="271"/>
        <v>0</v>
      </c>
      <c r="AQ189" s="1">
        <f t="shared" si="272"/>
        <v>0</v>
      </c>
      <c r="AR189" s="72">
        <f t="shared" si="273"/>
        <v>0</v>
      </c>
    </row>
    <row r="190" spans="1:44" x14ac:dyDescent="0.45">
      <c r="A190" s="118">
        <f t="shared" si="186"/>
        <v>182</v>
      </c>
      <c r="B190" s="57">
        <v>910</v>
      </c>
      <c r="C190" s="34" t="s">
        <v>341</v>
      </c>
      <c r="D190" s="34" t="s">
        <v>349</v>
      </c>
      <c r="E190" s="25">
        <v>0</v>
      </c>
      <c r="F190" s="8">
        <v>101</v>
      </c>
      <c r="G190" s="1">
        <f>VLOOKUP($F190,AF!$B$39:$M$80,G$9)*$E190</f>
        <v>0</v>
      </c>
      <c r="H190" s="1">
        <f>VLOOKUP($F190,AF!$B$39:$M$80,H$9)*$E190</f>
        <v>0</v>
      </c>
      <c r="I190" s="1">
        <f>VLOOKUP($F190,AF!$B$39:$M$80,I$9)*$E190</f>
        <v>0</v>
      </c>
      <c r="J190" s="1">
        <f>VLOOKUP($F190,AF!$B$39:$M$80,J$9)*$E190</f>
        <v>0</v>
      </c>
      <c r="K190" s="1">
        <f t="shared" si="265"/>
        <v>0</v>
      </c>
      <c r="L190" s="72">
        <f>$E190-SUM(G190:K190)</f>
        <v>0</v>
      </c>
      <c r="N190" s="8">
        <v>201</v>
      </c>
      <c r="O190" s="1">
        <f>VLOOKUP($N190,AF!$B$39:$M$80,O$9)*$G190</f>
        <v>0</v>
      </c>
      <c r="P190" s="1">
        <f>VLOOKUP($N190,AF!$B$39:$M$80,P$9)*$G190</f>
        <v>0</v>
      </c>
      <c r="Q190" s="1">
        <f>VLOOKUP($N190,AF!$B$39:$M$80,Q$9)*$H190</f>
        <v>0</v>
      </c>
      <c r="R190" s="1">
        <f>VLOOKUP($N190,AF!$B$39:$M$80,R$9)*$H190</f>
        <v>0</v>
      </c>
      <c r="S190" s="1">
        <f>VLOOKUP($N190,AF!$B$39:$M$80,S$9)*$I190</f>
        <v>0</v>
      </c>
      <c r="T190" s="1">
        <f>VLOOKUP($N190,AF!$B$39:$M$80,T$9)*$I190</f>
        <v>0</v>
      </c>
      <c r="U190" s="1">
        <f>VLOOKUP($N190,AF!$B$39:$M$80,U$9)*$J190</f>
        <v>0</v>
      </c>
      <c r="V190" s="1">
        <f>VLOOKUP($N190,AF!$B$39:$M$80,V$9)*$J190</f>
        <v>0</v>
      </c>
      <c r="W190" s="1">
        <f t="shared" si="266"/>
        <v>0</v>
      </c>
      <c r="Y190" s="1">
        <f t="shared" si="267"/>
        <v>0</v>
      </c>
      <c r="Z190" s="1">
        <f t="shared" si="267"/>
        <v>0</v>
      </c>
      <c r="AA190" s="1">
        <f t="shared" si="268"/>
        <v>0</v>
      </c>
      <c r="AB190" s="72">
        <f t="shared" si="269"/>
        <v>0</v>
      </c>
      <c r="AD190" s="72">
        <v>302</v>
      </c>
      <c r="AE190" s="1">
        <f>VLOOKUP($AD190,AF!$B$39:$M$80,AE$9)*$O190</f>
        <v>0</v>
      </c>
      <c r="AF190" s="1">
        <f>VLOOKUP($AD190,AF!$B$39:$M$80,AF$9)*$P190</f>
        <v>0</v>
      </c>
      <c r="AG190" s="1">
        <f>VLOOKUP($AD190,AF!$B$39:$M$80,AG$9)*$Q190</f>
        <v>0</v>
      </c>
      <c r="AH190" s="1">
        <f>VLOOKUP($AD190,AF!$B$39:$M$80,AH$9)*$R190</f>
        <v>0</v>
      </c>
      <c r="AI190" s="1">
        <f>VLOOKUP($AD190,AF!$B$39:$M$80,AI$9)*$S190</f>
        <v>0</v>
      </c>
      <c r="AJ190" s="1">
        <f>VLOOKUP($AD190,AF!$B$39:$M$80,AJ$9)*$T190</f>
        <v>0</v>
      </c>
      <c r="AK190" s="1">
        <f>VLOOKUP($AD190,AF!$B$39:$M$80,AK$9)*$U190</f>
        <v>0</v>
      </c>
      <c r="AL190" s="1">
        <f>VLOOKUP($AD190,AF!$B$39:$M$80,AL$9)*$V190</f>
        <v>0</v>
      </c>
      <c r="AM190" s="1">
        <f t="shared" si="270"/>
        <v>0</v>
      </c>
      <c r="AO190" s="1">
        <f t="shared" si="271"/>
        <v>0</v>
      </c>
      <c r="AP190" s="1">
        <f t="shared" si="271"/>
        <v>0</v>
      </c>
      <c r="AQ190" s="1">
        <f t="shared" si="272"/>
        <v>0</v>
      </c>
      <c r="AR190" s="72">
        <f t="shared" si="273"/>
        <v>0</v>
      </c>
    </row>
    <row r="191" spans="1:44" x14ac:dyDescent="0.45">
      <c r="A191" s="118">
        <f t="shared" si="186"/>
        <v>183</v>
      </c>
      <c r="B191" s="34"/>
      <c r="C191" s="34" t="s">
        <v>0</v>
      </c>
      <c r="D191" s="34"/>
      <c r="E191" s="33">
        <f>SUM(E187:E190)</f>
        <v>0</v>
      </c>
      <c r="F191" s="74"/>
      <c r="G191" s="33">
        <f t="shared" ref="G191:I191" si="274">SUM(G187:G190)</f>
        <v>0</v>
      </c>
      <c r="H191" s="33">
        <f t="shared" si="274"/>
        <v>0</v>
      </c>
      <c r="I191" s="33">
        <f t="shared" si="274"/>
        <v>0</v>
      </c>
      <c r="J191" s="33">
        <f t="shared" ref="J191:K191" si="275">SUM(J187:J190)</f>
        <v>0</v>
      </c>
      <c r="K191" s="33">
        <f t="shared" si="275"/>
        <v>0</v>
      </c>
      <c r="L191" s="72">
        <f>$E191-SUM(G191:K191)</f>
        <v>0</v>
      </c>
      <c r="N191" s="74"/>
      <c r="O191" s="33">
        <f t="shared" ref="O191" si="276">SUM(O187:O190)</f>
        <v>0</v>
      </c>
      <c r="P191" s="33">
        <f t="shared" ref="P191:W191" si="277">SUM(P187:P190)</f>
        <v>0</v>
      </c>
      <c r="Q191" s="33">
        <f t="shared" si="277"/>
        <v>0</v>
      </c>
      <c r="R191" s="33">
        <f t="shared" ref="R191" si="278">SUM(R187:R190)</f>
        <v>0</v>
      </c>
      <c r="S191" s="33">
        <f t="shared" si="277"/>
        <v>0</v>
      </c>
      <c r="T191" s="33">
        <f t="shared" ref="T191" si="279">SUM(T187:T190)</f>
        <v>0</v>
      </c>
      <c r="U191" s="33">
        <f t="shared" si="277"/>
        <v>0</v>
      </c>
      <c r="V191" s="33">
        <f t="shared" ref="V191" si="280">SUM(V187:V190)</f>
        <v>0</v>
      </c>
      <c r="W191" s="33">
        <f t="shared" si="277"/>
        <v>0</v>
      </c>
      <c r="Y191" s="33">
        <f t="shared" ref="Y191:AA191" si="281">SUM(Y187:Y190)</f>
        <v>0</v>
      </c>
      <c r="Z191" s="33">
        <f t="shared" si="281"/>
        <v>0</v>
      </c>
      <c r="AA191" s="33">
        <f t="shared" si="281"/>
        <v>0</v>
      </c>
      <c r="AB191" s="72">
        <f t="shared" si="269"/>
        <v>0</v>
      </c>
      <c r="AD191" s="74"/>
      <c r="AE191" s="33">
        <f t="shared" ref="AE191:AM191" si="282">SUM(AE187:AE190)</f>
        <v>0</v>
      </c>
      <c r="AF191" s="33">
        <f t="shared" si="282"/>
        <v>0</v>
      </c>
      <c r="AG191" s="33">
        <f t="shared" si="282"/>
        <v>0</v>
      </c>
      <c r="AH191" s="33">
        <f t="shared" si="282"/>
        <v>0</v>
      </c>
      <c r="AI191" s="33">
        <f t="shared" si="282"/>
        <v>0</v>
      </c>
      <c r="AJ191" s="33">
        <f t="shared" si="282"/>
        <v>0</v>
      </c>
      <c r="AK191" s="33">
        <f t="shared" si="282"/>
        <v>0</v>
      </c>
      <c r="AL191" s="33">
        <f t="shared" si="282"/>
        <v>0</v>
      </c>
      <c r="AM191" s="33">
        <f t="shared" si="282"/>
        <v>0</v>
      </c>
      <c r="AO191" s="33">
        <f t="shared" ref="AO191:AQ191" si="283">SUM(AO187:AO190)</f>
        <v>0</v>
      </c>
      <c r="AP191" s="33">
        <f t="shared" si="283"/>
        <v>0</v>
      </c>
      <c r="AQ191" s="33">
        <f t="shared" si="283"/>
        <v>0</v>
      </c>
      <c r="AR191" s="72">
        <f t="shared" si="273"/>
        <v>0</v>
      </c>
    </row>
    <row r="192" spans="1:44" x14ac:dyDescent="0.45">
      <c r="A192" s="118">
        <f t="shared" si="186"/>
        <v>184</v>
      </c>
      <c r="B192" s="34"/>
      <c r="C192" s="34"/>
      <c r="D192" s="34"/>
      <c r="E192" s="34"/>
      <c r="F192" s="74"/>
      <c r="G192" s="88"/>
      <c r="H192" s="88"/>
      <c r="I192" s="88"/>
      <c r="J192" s="88"/>
      <c r="K192" s="88"/>
      <c r="L192" s="74"/>
      <c r="N192" s="74"/>
      <c r="O192" s="88"/>
      <c r="P192" s="88"/>
      <c r="Q192" s="88"/>
      <c r="R192" s="88"/>
      <c r="S192" s="88"/>
      <c r="T192" s="88"/>
      <c r="U192" s="88"/>
      <c r="V192" s="88"/>
      <c r="W192" s="88"/>
      <c r="Y192" s="88"/>
      <c r="Z192" s="88"/>
      <c r="AA192" s="88"/>
      <c r="AB192" s="74"/>
      <c r="AD192" s="74"/>
      <c r="AE192" s="88"/>
      <c r="AF192" s="88"/>
      <c r="AG192" s="88"/>
      <c r="AH192" s="88"/>
      <c r="AI192" s="88"/>
      <c r="AJ192" s="88"/>
      <c r="AK192" s="88"/>
      <c r="AL192" s="88"/>
      <c r="AM192" s="88"/>
      <c r="AO192" s="88"/>
      <c r="AP192" s="88"/>
      <c r="AQ192" s="88"/>
      <c r="AR192" s="74"/>
    </row>
    <row r="193" spans="1:44" x14ac:dyDescent="0.45">
      <c r="A193" s="118">
        <f t="shared" si="186"/>
        <v>185</v>
      </c>
      <c r="B193" s="35" t="s">
        <v>409</v>
      </c>
      <c r="C193" s="35"/>
      <c r="D193" s="34"/>
      <c r="E193" s="34"/>
      <c r="F193" s="74"/>
      <c r="G193" s="88"/>
      <c r="H193" s="88"/>
      <c r="I193" s="88"/>
      <c r="J193" s="88"/>
      <c r="K193" s="88"/>
      <c r="L193" s="74"/>
      <c r="N193" s="74"/>
      <c r="O193" s="88"/>
      <c r="P193" s="88"/>
      <c r="Q193" s="88"/>
      <c r="R193" s="88"/>
      <c r="S193" s="88"/>
      <c r="T193" s="88"/>
      <c r="U193" s="88"/>
      <c r="V193" s="88"/>
      <c r="W193" s="88"/>
      <c r="Y193" s="88"/>
      <c r="Z193" s="88"/>
      <c r="AA193" s="88"/>
      <c r="AB193" s="74"/>
      <c r="AD193" s="74"/>
      <c r="AE193" s="88"/>
      <c r="AF193" s="88"/>
      <c r="AG193" s="88"/>
      <c r="AH193" s="88"/>
      <c r="AI193" s="88"/>
      <c r="AJ193" s="88"/>
      <c r="AK193" s="88"/>
      <c r="AL193" s="88"/>
      <c r="AM193" s="88"/>
      <c r="AO193" s="88"/>
      <c r="AP193" s="88"/>
      <c r="AQ193" s="88"/>
      <c r="AR193" s="74"/>
    </row>
    <row r="194" spans="1:44" x14ac:dyDescent="0.45">
      <c r="A194" s="118">
        <f t="shared" si="186"/>
        <v>186</v>
      </c>
      <c r="B194" s="79">
        <v>911</v>
      </c>
      <c r="C194" s="37" t="s">
        <v>335</v>
      </c>
      <c r="D194" s="34" t="s">
        <v>350</v>
      </c>
      <c r="E194" s="25">
        <v>0</v>
      </c>
      <c r="F194" s="8">
        <v>101</v>
      </c>
      <c r="G194" s="1">
        <f>VLOOKUP($F194,AF!$B$39:$M$80,G$9)*$E194</f>
        <v>0</v>
      </c>
      <c r="H194" s="1">
        <f>VLOOKUP($F194,AF!$B$39:$M$80,H$9)*$E194</f>
        <v>0</v>
      </c>
      <c r="I194" s="1">
        <f>VLOOKUP($F194,AF!$B$39:$M$80,I$9)*$E194</f>
        <v>0</v>
      </c>
      <c r="J194" s="1">
        <f>VLOOKUP($F194,AF!$B$39:$M$80,J$9)*$E194</f>
        <v>0</v>
      </c>
      <c r="K194" s="1">
        <f t="shared" ref="K194:K197" si="284">E194-SUM(G194:J194)</f>
        <v>0</v>
      </c>
      <c r="L194" s="72">
        <f>$E194-SUM(G194:K194)</f>
        <v>0</v>
      </c>
      <c r="N194" s="8">
        <v>201</v>
      </c>
      <c r="O194" s="1">
        <f>VLOOKUP($N194,AF!$B$39:$M$80,O$9)*$G194</f>
        <v>0</v>
      </c>
      <c r="P194" s="1">
        <f>VLOOKUP($N194,AF!$B$39:$M$80,P$9)*$G194</f>
        <v>0</v>
      </c>
      <c r="Q194" s="1">
        <f>VLOOKUP($N194,AF!$B$39:$M$80,Q$9)*$H194</f>
        <v>0</v>
      </c>
      <c r="R194" s="1">
        <f>VLOOKUP($N194,AF!$B$39:$M$80,R$9)*$H194</f>
        <v>0</v>
      </c>
      <c r="S194" s="1">
        <f>VLOOKUP($N194,AF!$B$39:$M$80,S$9)*$I194</f>
        <v>0</v>
      </c>
      <c r="T194" s="1">
        <f>VLOOKUP($N194,AF!$B$39:$M$80,T$9)*$I194</f>
        <v>0</v>
      </c>
      <c r="U194" s="1">
        <f>VLOOKUP($N194,AF!$B$39:$M$80,U$9)*$J194</f>
        <v>0</v>
      </c>
      <c r="V194" s="1">
        <f>VLOOKUP($N194,AF!$B$39:$M$80,V$9)*$J194</f>
        <v>0</v>
      </c>
      <c r="W194" s="1">
        <f t="shared" ref="W194:W197" si="285">E194-SUM(O194:V194)</f>
        <v>0</v>
      </c>
      <c r="Y194" s="1">
        <f t="shared" ref="Y194:Z197" si="286">+O194+Q194+S194+U194</f>
        <v>0</v>
      </c>
      <c r="Z194" s="1">
        <f t="shared" si="286"/>
        <v>0</v>
      </c>
      <c r="AA194" s="1">
        <f t="shared" ref="AA194:AA197" si="287">+Z194+Y194+W194</f>
        <v>0</v>
      </c>
      <c r="AB194" s="72">
        <f t="shared" ref="AB194:AB198" si="288">$E194-AA194</f>
        <v>0</v>
      </c>
      <c r="AD194" s="72">
        <v>302</v>
      </c>
      <c r="AE194" s="1">
        <f>VLOOKUP($AD194,AF!$B$39:$M$80,AE$9)*$O194</f>
        <v>0</v>
      </c>
      <c r="AF194" s="1">
        <f>VLOOKUP($AD194,AF!$B$39:$M$80,AF$9)*$P194</f>
        <v>0</v>
      </c>
      <c r="AG194" s="1">
        <f>VLOOKUP($AD194,AF!$B$39:$M$80,AG$9)*$Q194</f>
        <v>0</v>
      </c>
      <c r="AH194" s="1">
        <f>VLOOKUP($AD194,AF!$B$39:$M$80,AH$9)*$R194</f>
        <v>0</v>
      </c>
      <c r="AI194" s="1">
        <f>VLOOKUP($AD194,AF!$B$39:$M$80,AI$9)*$S194</f>
        <v>0</v>
      </c>
      <c r="AJ194" s="1">
        <f>VLOOKUP($AD194,AF!$B$39:$M$80,AJ$9)*$T194</f>
        <v>0</v>
      </c>
      <c r="AK194" s="1">
        <f>VLOOKUP($AD194,AF!$B$39:$M$80,AK$9)*$U194</f>
        <v>0</v>
      </c>
      <c r="AL194" s="1">
        <f>VLOOKUP($AD194,AF!$B$39:$M$80,AL$9)*$V194</f>
        <v>0</v>
      </c>
      <c r="AM194" s="1">
        <f>E194-SUM(AE194:AL194)</f>
        <v>0</v>
      </c>
      <c r="AO194" s="1">
        <f t="shared" ref="AO194:AP197" si="289">+AE194+AG194+AI194+AK194</f>
        <v>0</v>
      </c>
      <c r="AP194" s="1">
        <f t="shared" si="289"/>
        <v>0</v>
      </c>
      <c r="AQ194" s="1">
        <f t="shared" ref="AQ194:AQ197" si="290">+AP194+AO194+AM194</f>
        <v>0</v>
      </c>
      <c r="AR194" s="72">
        <f t="shared" ref="AR194:AR198" si="291">$E194-AQ194</f>
        <v>0</v>
      </c>
    </row>
    <row r="195" spans="1:44" x14ac:dyDescent="0.45">
      <c r="A195" s="118">
        <f t="shared" si="186"/>
        <v>187</v>
      </c>
      <c r="B195" s="57">
        <v>912</v>
      </c>
      <c r="C195" s="34" t="s">
        <v>54</v>
      </c>
      <c r="D195" s="34" t="s">
        <v>55</v>
      </c>
      <c r="E195" s="28">
        <v>0</v>
      </c>
      <c r="F195" s="8">
        <v>101</v>
      </c>
      <c r="G195" s="1">
        <f>VLOOKUP($F195,AF!$B$39:$M$80,G$9)*$E195</f>
        <v>0</v>
      </c>
      <c r="H195" s="1">
        <f>VLOOKUP($F195,AF!$B$39:$M$80,H$9)*$E195</f>
        <v>0</v>
      </c>
      <c r="I195" s="1">
        <f>VLOOKUP($F195,AF!$B$39:$M$80,I$9)*$E195</f>
        <v>0</v>
      </c>
      <c r="J195" s="1">
        <f>VLOOKUP($F195,AF!$B$39:$M$80,J$9)*$E195</f>
        <v>0</v>
      </c>
      <c r="K195" s="1">
        <f t="shared" si="284"/>
        <v>0</v>
      </c>
      <c r="L195" s="72">
        <f>$E195-SUM(G195:K195)</f>
        <v>0</v>
      </c>
      <c r="N195" s="8">
        <v>201</v>
      </c>
      <c r="O195" s="1">
        <f>VLOOKUP($N195,AF!$B$39:$M$80,O$9)*$G195</f>
        <v>0</v>
      </c>
      <c r="P195" s="1">
        <f>VLOOKUP($N195,AF!$B$39:$M$80,P$9)*$G195</f>
        <v>0</v>
      </c>
      <c r="Q195" s="1">
        <f>VLOOKUP($N195,AF!$B$39:$M$80,Q$9)*$H195</f>
        <v>0</v>
      </c>
      <c r="R195" s="1">
        <f>VLOOKUP($N195,AF!$B$39:$M$80,R$9)*$H195</f>
        <v>0</v>
      </c>
      <c r="S195" s="1">
        <f>VLOOKUP($N195,AF!$B$39:$M$80,S$9)*$I195</f>
        <v>0</v>
      </c>
      <c r="T195" s="1">
        <f>VLOOKUP($N195,AF!$B$39:$M$80,T$9)*$I195</f>
        <v>0</v>
      </c>
      <c r="U195" s="1">
        <f>VLOOKUP($N195,AF!$B$39:$M$80,U$9)*$J195</f>
        <v>0</v>
      </c>
      <c r="V195" s="1">
        <f>VLOOKUP($N195,AF!$B$39:$M$80,V$9)*$J195</f>
        <v>0</v>
      </c>
      <c r="W195" s="1">
        <f t="shared" si="285"/>
        <v>0</v>
      </c>
      <c r="Y195" s="1">
        <f t="shared" si="286"/>
        <v>0</v>
      </c>
      <c r="Z195" s="1">
        <f t="shared" si="286"/>
        <v>0</v>
      </c>
      <c r="AA195" s="1">
        <f t="shared" si="287"/>
        <v>0</v>
      </c>
      <c r="AB195" s="72">
        <f t="shared" si="288"/>
        <v>0</v>
      </c>
      <c r="AD195" s="72">
        <v>302</v>
      </c>
      <c r="AE195" s="1">
        <f>VLOOKUP($AD195,AF!$B$39:$M$80,AE$9)*$O195</f>
        <v>0</v>
      </c>
      <c r="AF195" s="1">
        <f>VLOOKUP($AD195,AF!$B$39:$M$80,AF$9)*$P195</f>
        <v>0</v>
      </c>
      <c r="AG195" s="1">
        <f>VLOOKUP($AD195,AF!$B$39:$M$80,AG$9)*$Q195</f>
        <v>0</v>
      </c>
      <c r="AH195" s="1">
        <f>VLOOKUP($AD195,AF!$B$39:$M$80,AH$9)*$R195</f>
        <v>0</v>
      </c>
      <c r="AI195" s="1">
        <f>VLOOKUP($AD195,AF!$B$39:$M$80,AI$9)*$S195</f>
        <v>0</v>
      </c>
      <c r="AJ195" s="1">
        <f>VLOOKUP($AD195,AF!$B$39:$M$80,AJ$9)*$T195</f>
        <v>0</v>
      </c>
      <c r="AK195" s="1">
        <f>VLOOKUP($AD195,AF!$B$39:$M$80,AK$9)*$U195</f>
        <v>0</v>
      </c>
      <c r="AL195" s="1">
        <f>VLOOKUP($AD195,AF!$B$39:$M$80,AL$9)*$V195</f>
        <v>0</v>
      </c>
      <c r="AM195" s="1">
        <f t="shared" ref="AM195:AM197" si="292">E195-SUM(AE195:AL195)</f>
        <v>0</v>
      </c>
      <c r="AO195" s="1">
        <f t="shared" si="289"/>
        <v>0</v>
      </c>
      <c r="AP195" s="1">
        <f t="shared" si="289"/>
        <v>0</v>
      </c>
      <c r="AQ195" s="1">
        <f t="shared" si="290"/>
        <v>0</v>
      </c>
      <c r="AR195" s="72">
        <f t="shared" si="291"/>
        <v>0</v>
      </c>
    </row>
    <row r="196" spans="1:44" x14ac:dyDescent="0.45">
      <c r="A196" s="118">
        <f t="shared" si="186"/>
        <v>188</v>
      </c>
      <c r="B196" s="57">
        <v>913</v>
      </c>
      <c r="C196" s="34" t="s">
        <v>351</v>
      </c>
      <c r="D196" s="34" t="s">
        <v>352</v>
      </c>
      <c r="E196" s="25">
        <v>0</v>
      </c>
      <c r="F196" s="8">
        <v>101</v>
      </c>
      <c r="G196" s="1">
        <f>VLOOKUP($F196,AF!$B$39:$M$80,G$9)*$E196</f>
        <v>0</v>
      </c>
      <c r="H196" s="1">
        <f>VLOOKUP($F196,AF!$B$39:$M$80,H$9)*$E196</f>
        <v>0</v>
      </c>
      <c r="I196" s="1">
        <f>VLOOKUP($F196,AF!$B$39:$M$80,I$9)*$E196</f>
        <v>0</v>
      </c>
      <c r="J196" s="1">
        <f>VLOOKUP($F196,AF!$B$39:$M$80,J$9)*$E196</f>
        <v>0</v>
      </c>
      <c r="K196" s="1">
        <f t="shared" si="284"/>
        <v>0</v>
      </c>
      <c r="L196" s="72">
        <f>$E196-SUM(G196:K196)</f>
        <v>0</v>
      </c>
      <c r="N196" s="8">
        <v>201</v>
      </c>
      <c r="O196" s="1">
        <f>VLOOKUP($N196,AF!$B$39:$M$80,O$9)*$G196</f>
        <v>0</v>
      </c>
      <c r="P196" s="1">
        <f>VLOOKUP($N196,AF!$B$39:$M$80,P$9)*$G196</f>
        <v>0</v>
      </c>
      <c r="Q196" s="1">
        <f>VLOOKUP($N196,AF!$B$39:$M$80,Q$9)*$H196</f>
        <v>0</v>
      </c>
      <c r="R196" s="1">
        <f>VLOOKUP($N196,AF!$B$39:$M$80,R$9)*$H196</f>
        <v>0</v>
      </c>
      <c r="S196" s="1">
        <f>VLOOKUP($N196,AF!$B$39:$M$80,S$9)*$I196</f>
        <v>0</v>
      </c>
      <c r="T196" s="1">
        <f>VLOOKUP($N196,AF!$B$39:$M$80,T$9)*$I196</f>
        <v>0</v>
      </c>
      <c r="U196" s="1">
        <f>VLOOKUP($N196,AF!$B$39:$M$80,U$9)*$J196</f>
        <v>0</v>
      </c>
      <c r="V196" s="1">
        <f>VLOOKUP($N196,AF!$B$39:$M$80,V$9)*$J196</f>
        <v>0</v>
      </c>
      <c r="W196" s="1">
        <f t="shared" si="285"/>
        <v>0</v>
      </c>
      <c r="Y196" s="1">
        <f t="shared" si="286"/>
        <v>0</v>
      </c>
      <c r="Z196" s="1">
        <f t="shared" si="286"/>
        <v>0</v>
      </c>
      <c r="AA196" s="1">
        <f t="shared" si="287"/>
        <v>0</v>
      </c>
      <c r="AB196" s="72">
        <f t="shared" si="288"/>
        <v>0</v>
      </c>
      <c r="AD196" s="72">
        <v>302</v>
      </c>
      <c r="AE196" s="1">
        <f>VLOOKUP($AD196,AF!$B$39:$M$80,AE$9)*$O196</f>
        <v>0</v>
      </c>
      <c r="AF196" s="1">
        <f>VLOOKUP($AD196,AF!$B$39:$M$80,AF$9)*$P196</f>
        <v>0</v>
      </c>
      <c r="AG196" s="1">
        <f>VLOOKUP($AD196,AF!$B$39:$M$80,AG$9)*$Q196</f>
        <v>0</v>
      </c>
      <c r="AH196" s="1">
        <f>VLOOKUP($AD196,AF!$B$39:$M$80,AH$9)*$R196</f>
        <v>0</v>
      </c>
      <c r="AI196" s="1">
        <f>VLOOKUP($AD196,AF!$B$39:$M$80,AI$9)*$S196</f>
        <v>0</v>
      </c>
      <c r="AJ196" s="1">
        <f>VLOOKUP($AD196,AF!$B$39:$M$80,AJ$9)*$T196</f>
        <v>0</v>
      </c>
      <c r="AK196" s="1">
        <f>VLOOKUP($AD196,AF!$B$39:$M$80,AK$9)*$U196</f>
        <v>0</v>
      </c>
      <c r="AL196" s="1">
        <f>VLOOKUP($AD196,AF!$B$39:$M$80,AL$9)*$V196</f>
        <v>0</v>
      </c>
      <c r="AM196" s="1">
        <f t="shared" si="292"/>
        <v>0</v>
      </c>
      <c r="AO196" s="1">
        <f t="shared" si="289"/>
        <v>0</v>
      </c>
      <c r="AP196" s="1">
        <f t="shared" si="289"/>
        <v>0</v>
      </c>
      <c r="AQ196" s="1">
        <f t="shared" si="290"/>
        <v>0</v>
      </c>
      <c r="AR196" s="72">
        <f t="shared" si="291"/>
        <v>0</v>
      </c>
    </row>
    <row r="197" spans="1:44" x14ac:dyDescent="0.45">
      <c r="A197" s="118">
        <f t="shared" si="186"/>
        <v>189</v>
      </c>
      <c r="B197" s="57">
        <v>916</v>
      </c>
      <c r="C197" s="34" t="s">
        <v>353</v>
      </c>
      <c r="D197" s="34" t="s">
        <v>354</v>
      </c>
      <c r="E197" s="25">
        <v>0</v>
      </c>
      <c r="F197" s="8">
        <v>101</v>
      </c>
      <c r="G197" s="1">
        <f>VLOOKUP($F197,AF!$B$39:$M$80,G$9)*$E197</f>
        <v>0</v>
      </c>
      <c r="H197" s="1">
        <f>VLOOKUP($F197,AF!$B$39:$M$80,H$9)*$E197</f>
        <v>0</v>
      </c>
      <c r="I197" s="1">
        <f>VLOOKUP($F197,AF!$B$39:$M$80,I$9)*$E197</f>
        <v>0</v>
      </c>
      <c r="J197" s="1">
        <f>VLOOKUP($F197,AF!$B$39:$M$80,J$9)*$E197</f>
        <v>0</v>
      </c>
      <c r="K197" s="1">
        <f t="shared" si="284"/>
        <v>0</v>
      </c>
      <c r="L197" s="72">
        <f>$E197-SUM(G197:K197)</f>
        <v>0</v>
      </c>
      <c r="N197" s="8">
        <v>201</v>
      </c>
      <c r="O197" s="1">
        <f>VLOOKUP($N197,AF!$B$39:$M$80,O$9)*$G197</f>
        <v>0</v>
      </c>
      <c r="P197" s="1">
        <f>VLOOKUP($N197,AF!$B$39:$M$80,P$9)*$G197</f>
        <v>0</v>
      </c>
      <c r="Q197" s="1">
        <f>VLOOKUP($N197,AF!$B$39:$M$80,Q$9)*$H197</f>
        <v>0</v>
      </c>
      <c r="R197" s="1">
        <f>VLOOKUP($N197,AF!$B$39:$M$80,R$9)*$H197</f>
        <v>0</v>
      </c>
      <c r="S197" s="1">
        <f>VLOOKUP($N197,AF!$B$39:$M$80,S$9)*$I197</f>
        <v>0</v>
      </c>
      <c r="T197" s="1">
        <f>VLOOKUP($N197,AF!$B$39:$M$80,T$9)*$I197</f>
        <v>0</v>
      </c>
      <c r="U197" s="1">
        <f>VLOOKUP($N197,AF!$B$39:$M$80,U$9)*$J197</f>
        <v>0</v>
      </c>
      <c r="V197" s="1">
        <f>VLOOKUP($N197,AF!$B$39:$M$80,V$9)*$J197</f>
        <v>0</v>
      </c>
      <c r="W197" s="1">
        <f t="shared" si="285"/>
        <v>0</v>
      </c>
      <c r="Y197" s="1">
        <f t="shared" si="286"/>
        <v>0</v>
      </c>
      <c r="Z197" s="1">
        <f t="shared" si="286"/>
        <v>0</v>
      </c>
      <c r="AA197" s="1">
        <f t="shared" si="287"/>
        <v>0</v>
      </c>
      <c r="AB197" s="72">
        <f t="shared" si="288"/>
        <v>0</v>
      </c>
      <c r="AD197" s="72">
        <v>302</v>
      </c>
      <c r="AE197" s="1">
        <f>VLOOKUP($AD197,AF!$B$39:$M$80,AE$9)*$O197</f>
        <v>0</v>
      </c>
      <c r="AF197" s="1">
        <f>VLOOKUP($AD197,AF!$B$39:$M$80,AF$9)*$P197</f>
        <v>0</v>
      </c>
      <c r="AG197" s="1">
        <f>VLOOKUP($AD197,AF!$B$39:$M$80,AG$9)*$Q197</f>
        <v>0</v>
      </c>
      <c r="AH197" s="1">
        <f>VLOOKUP($AD197,AF!$B$39:$M$80,AH$9)*$R197</f>
        <v>0</v>
      </c>
      <c r="AI197" s="1">
        <f>VLOOKUP($AD197,AF!$B$39:$M$80,AI$9)*$S197</f>
        <v>0</v>
      </c>
      <c r="AJ197" s="1">
        <f>VLOOKUP($AD197,AF!$B$39:$M$80,AJ$9)*$T197</f>
        <v>0</v>
      </c>
      <c r="AK197" s="1">
        <f>VLOOKUP($AD197,AF!$B$39:$M$80,AK$9)*$U197</f>
        <v>0</v>
      </c>
      <c r="AL197" s="1">
        <f>VLOOKUP($AD197,AF!$B$39:$M$80,AL$9)*$V197</f>
        <v>0</v>
      </c>
      <c r="AM197" s="1">
        <f t="shared" si="292"/>
        <v>0</v>
      </c>
      <c r="AO197" s="1">
        <f t="shared" si="289"/>
        <v>0</v>
      </c>
      <c r="AP197" s="1">
        <f t="shared" si="289"/>
        <v>0</v>
      </c>
      <c r="AQ197" s="1">
        <f t="shared" si="290"/>
        <v>0</v>
      </c>
      <c r="AR197" s="72">
        <f t="shared" si="291"/>
        <v>0</v>
      </c>
    </row>
    <row r="198" spans="1:44" x14ac:dyDescent="0.45">
      <c r="A198" s="118">
        <f t="shared" si="186"/>
        <v>190</v>
      </c>
      <c r="B198" s="34"/>
      <c r="C198" s="34" t="s">
        <v>0</v>
      </c>
      <c r="D198" s="34"/>
      <c r="E198" s="40">
        <f>SUM(E194:E197)</f>
        <v>0</v>
      </c>
      <c r="F198" s="74"/>
      <c r="G198" s="40">
        <f t="shared" ref="G198:I198" si="293">SUM(G194:G197)</f>
        <v>0</v>
      </c>
      <c r="H198" s="40">
        <f t="shared" si="293"/>
        <v>0</v>
      </c>
      <c r="I198" s="40">
        <f t="shared" si="293"/>
        <v>0</v>
      </c>
      <c r="J198" s="40">
        <f t="shared" ref="J198:K198" si="294">SUM(J194:J197)</f>
        <v>0</v>
      </c>
      <c r="K198" s="40">
        <f t="shared" si="294"/>
        <v>0</v>
      </c>
      <c r="L198" s="72">
        <f>$E198-SUM(G198:K198)</f>
        <v>0</v>
      </c>
      <c r="N198" s="74"/>
      <c r="O198" s="40">
        <f t="shared" ref="O198" si="295">SUM(O194:O197)</f>
        <v>0</v>
      </c>
      <c r="P198" s="40">
        <f t="shared" ref="P198:W198" si="296">SUM(P194:P197)</f>
        <v>0</v>
      </c>
      <c r="Q198" s="40">
        <f t="shared" si="296"/>
        <v>0</v>
      </c>
      <c r="R198" s="40">
        <f t="shared" ref="R198" si="297">SUM(R194:R197)</f>
        <v>0</v>
      </c>
      <c r="S198" s="40">
        <f t="shared" si="296"/>
        <v>0</v>
      </c>
      <c r="T198" s="40">
        <f t="shared" ref="T198" si="298">SUM(T194:T197)</f>
        <v>0</v>
      </c>
      <c r="U198" s="40">
        <f t="shared" si="296"/>
        <v>0</v>
      </c>
      <c r="V198" s="40">
        <f t="shared" ref="V198" si="299">SUM(V194:V197)</f>
        <v>0</v>
      </c>
      <c r="W198" s="40">
        <f t="shared" si="296"/>
        <v>0</v>
      </c>
      <c r="Y198" s="40">
        <f t="shared" ref="Y198:AA198" si="300">SUM(Y194:Y197)</f>
        <v>0</v>
      </c>
      <c r="Z198" s="40">
        <f t="shared" si="300"/>
        <v>0</v>
      </c>
      <c r="AA198" s="40">
        <f t="shared" si="300"/>
        <v>0</v>
      </c>
      <c r="AB198" s="72">
        <f t="shared" si="288"/>
        <v>0</v>
      </c>
      <c r="AD198" s="74"/>
      <c r="AE198" s="40">
        <f t="shared" ref="AE198:AM198" si="301">SUM(AE194:AE197)</f>
        <v>0</v>
      </c>
      <c r="AF198" s="40">
        <f t="shared" si="301"/>
        <v>0</v>
      </c>
      <c r="AG198" s="40">
        <f t="shared" si="301"/>
        <v>0</v>
      </c>
      <c r="AH198" s="40">
        <f t="shared" si="301"/>
        <v>0</v>
      </c>
      <c r="AI198" s="40">
        <f t="shared" si="301"/>
        <v>0</v>
      </c>
      <c r="AJ198" s="40">
        <f t="shared" si="301"/>
        <v>0</v>
      </c>
      <c r="AK198" s="40">
        <f t="shared" si="301"/>
        <v>0</v>
      </c>
      <c r="AL198" s="40">
        <f t="shared" si="301"/>
        <v>0</v>
      </c>
      <c r="AM198" s="40">
        <f t="shared" si="301"/>
        <v>0</v>
      </c>
      <c r="AO198" s="40">
        <f t="shared" ref="AO198:AQ198" si="302">SUM(AO194:AO197)</f>
        <v>0</v>
      </c>
      <c r="AP198" s="40">
        <f t="shared" si="302"/>
        <v>0</v>
      </c>
      <c r="AQ198" s="40">
        <f t="shared" si="302"/>
        <v>0</v>
      </c>
      <c r="AR198" s="72">
        <f t="shared" si="291"/>
        <v>0</v>
      </c>
    </row>
    <row r="199" spans="1:44" x14ac:dyDescent="0.45">
      <c r="A199" s="118">
        <f t="shared" si="186"/>
        <v>191</v>
      </c>
      <c r="B199" s="34"/>
      <c r="C199" s="34"/>
      <c r="D199" s="34"/>
      <c r="E199" s="34"/>
      <c r="F199" s="74"/>
      <c r="G199" s="88"/>
      <c r="H199" s="88"/>
      <c r="I199" s="88"/>
      <c r="J199" s="88"/>
      <c r="K199" s="88"/>
      <c r="L199" s="74"/>
      <c r="N199" s="74"/>
      <c r="O199" s="88"/>
      <c r="P199" s="88"/>
      <c r="Q199" s="88"/>
      <c r="R199" s="88"/>
      <c r="S199" s="88"/>
      <c r="T199" s="88"/>
      <c r="U199" s="88"/>
      <c r="V199" s="88"/>
      <c r="W199" s="88"/>
      <c r="Y199" s="88"/>
      <c r="Z199" s="88"/>
      <c r="AA199" s="88"/>
      <c r="AB199" s="74"/>
      <c r="AD199" s="74"/>
      <c r="AE199" s="88"/>
      <c r="AF199" s="88"/>
      <c r="AG199" s="88"/>
      <c r="AH199" s="88"/>
      <c r="AI199" s="88"/>
      <c r="AJ199" s="88"/>
      <c r="AK199" s="88"/>
      <c r="AL199" s="88"/>
      <c r="AM199" s="88"/>
      <c r="AO199" s="88"/>
      <c r="AP199" s="88"/>
      <c r="AQ199" s="88"/>
      <c r="AR199" s="74"/>
    </row>
    <row r="200" spans="1:44" x14ac:dyDescent="0.45">
      <c r="A200" s="118">
        <f t="shared" si="186"/>
        <v>192</v>
      </c>
      <c r="B200" s="35" t="s">
        <v>411</v>
      </c>
      <c r="C200" s="35"/>
      <c r="D200" s="34"/>
      <c r="E200" s="34"/>
      <c r="F200" s="74"/>
      <c r="G200" s="88"/>
      <c r="H200" s="88"/>
      <c r="I200" s="88"/>
      <c r="J200" s="88"/>
      <c r="K200" s="88"/>
      <c r="L200" s="74"/>
      <c r="N200" s="74"/>
      <c r="O200" s="88"/>
      <c r="P200" s="88"/>
      <c r="Q200" s="88"/>
      <c r="R200" s="88"/>
      <c r="S200" s="88"/>
      <c r="T200" s="88"/>
      <c r="U200" s="88"/>
      <c r="V200" s="88"/>
      <c r="W200" s="88"/>
      <c r="Y200" s="88"/>
      <c r="Z200" s="88"/>
      <c r="AA200" s="88"/>
      <c r="AB200" s="74"/>
      <c r="AD200" s="74"/>
      <c r="AE200" s="88"/>
      <c r="AF200" s="88"/>
      <c r="AG200" s="88"/>
      <c r="AH200" s="88"/>
      <c r="AI200" s="88"/>
      <c r="AJ200" s="88"/>
      <c r="AK200" s="88"/>
      <c r="AL200" s="88"/>
      <c r="AM200" s="88"/>
      <c r="AO200" s="88"/>
      <c r="AP200" s="88"/>
      <c r="AQ200" s="88"/>
      <c r="AR200" s="74"/>
    </row>
    <row r="201" spans="1:44" x14ac:dyDescent="0.45">
      <c r="A201" s="118">
        <f t="shared" si="186"/>
        <v>193</v>
      </c>
      <c r="B201" s="57">
        <v>920</v>
      </c>
      <c r="C201" s="34" t="s">
        <v>56</v>
      </c>
      <c r="D201" s="34" t="s">
        <v>62</v>
      </c>
      <c r="E201" s="25">
        <v>8856678</v>
      </c>
      <c r="F201" s="8">
        <v>101</v>
      </c>
      <c r="G201" s="1">
        <f>VLOOKUP($F201,AF!$B$39:$M$80,G$9)*$E201</f>
        <v>0</v>
      </c>
      <c r="H201" s="1">
        <f>VLOOKUP($F201,AF!$B$39:$M$80,H$9)*$E201</f>
        <v>0</v>
      </c>
      <c r="I201" s="1">
        <f>VLOOKUP($F201,AF!$B$39:$M$80,I$9)*$E201</f>
        <v>0</v>
      </c>
      <c r="J201" s="1">
        <f>VLOOKUP($F201,AF!$B$39:$M$80,J$9)*$E201</f>
        <v>0</v>
      </c>
      <c r="K201" s="1">
        <f t="shared" ref="K201:K205" si="303">E201-SUM(G201:J201)</f>
        <v>8856678</v>
      </c>
      <c r="L201" s="72">
        <f t="shared" ref="L201:L215" si="304">$E201-SUM(G201:K201)</f>
        <v>0</v>
      </c>
      <c r="N201" s="8">
        <v>206</v>
      </c>
      <c r="O201" s="1">
        <f>VLOOKUP($N201,AF!$B$39:$M$80,O$9)*$G201</f>
        <v>0</v>
      </c>
      <c r="P201" s="1">
        <f>VLOOKUP($N201,AF!$B$39:$M$80,P$9)*$G201</f>
        <v>0</v>
      </c>
      <c r="Q201" s="1">
        <f>VLOOKUP($N201,AF!$B$39:$M$80,Q$9)*$H201</f>
        <v>0</v>
      </c>
      <c r="R201" s="1">
        <f>VLOOKUP($N201,AF!$B$39:$M$80,R$9)*$H201</f>
        <v>0</v>
      </c>
      <c r="S201" s="1">
        <f>VLOOKUP($N201,AF!$B$39:$M$80,S$9)*$I201</f>
        <v>0</v>
      </c>
      <c r="T201" s="1">
        <f>VLOOKUP($N201,AF!$B$39:$M$80,T$9)*$I201</f>
        <v>0</v>
      </c>
      <c r="U201" s="1">
        <f>VLOOKUP($N201,AF!$B$39:$M$80,U$9)*$J201</f>
        <v>0</v>
      </c>
      <c r="V201" s="1">
        <f>VLOOKUP($N201,AF!$B$39:$M$80,V$9)*$J201</f>
        <v>0</v>
      </c>
      <c r="W201" s="1">
        <f t="shared" ref="W201:W214" si="305">E201-SUM(O201:V201)</f>
        <v>8856678</v>
      </c>
      <c r="Y201" s="1">
        <f t="shared" ref="Y201:Y214" si="306">+O201+Q201+S201+U201</f>
        <v>0</v>
      </c>
      <c r="Z201" s="1">
        <f t="shared" ref="Z201:Z214" si="307">+P201+R201+T201+V201</f>
        <v>0</v>
      </c>
      <c r="AA201" s="1">
        <f t="shared" ref="AA201:AA214" si="308">+Z201+Y201+W201</f>
        <v>8856678</v>
      </c>
      <c r="AB201" s="72">
        <f t="shared" ref="AB201:AB215" si="309">$E201-AA201</f>
        <v>0</v>
      </c>
      <c r="AD201" s="72">
        <v>306</v>
      </c>
      <c r="AE201" s="1">
        <f>VLOOKUP($AD201,AF!$B$39:$M$80,AE$9)*$O201</f>
        <v>0</v>
      </c>
      <c r="AF201" s="1">
        <f>VLOOKUP($AD201,AF!$B$39:$M$80,AF$9)*$P201</f>
        <v>0</v>
      </c>
      <c r="AG201" s="1">
        <f>VLOOKUP($AD201,AF!$B$39:$M$80,AG$9)*$Q201</f>
        <v>0</v>
      </c>
      <c r="AH201" s="1">
        <f>VLOOKUP($AD201,AF!$B$39:$M$80,AH$9)*$R201</f>
        <v>0</v>
      </c>
      <c r="AI201" s="1">
        <f>VLOOKUP($AD201,AF!$B$39:$M$80,AI$9)*$S201</f>
        <v>0</v>
      </c>
      <c r="AJ201" s="1">
        <f>VLOOKUP($AD201,AF!$B$39:$M$80,AJ$9)*$T201</f>
        <v>0</v>
      </c>
      <c r="AK201" s="1">
        <f>VLOOKUP($AD201,AF!$B$39:$M$80,AK$9)*$U201</f>
        <v>0</v>
      </c>
      <c r="AL201" s="1">
        <f>VLOOKUP($AD201,AF!$B$39:$M$80,AL$9)*$V201</f>
        <v>0</v>
      </c>
      <c r="AM201" s="1">
        <f t="shared" ref="AM201:AM214" si="310">E201-SUM(AE201:AL201)</f>
        <v>8856678</v>
      </c>
      <c r="AO201" s="1">
        <f t="shared" ref="AO201:AO214" si="311">+AE201+AG201+AI201+AK201</f>
        <v>0</v>
      </c>
      <c r="AP201" s="1">
        <f t="shared" ref="AP201:AP214" si="312">+AF201+AH201+AJ201+AL201</f>
        <v>0</v>
      </c>
      <c r="AQ201" s="1">
        <f t="shared" ref="AQ201:AQ214" si="313">+AP201+AO201+AM201</f>
        <v>8856678</v>
      </c>
      <c r="AR201" s="72">
        <f t="shared" ref="AR201:AR215" si="314">$E201-AQ201</f>
        <v>0</v>
      </c>
    </row>
    <row r="202" spans="1:44" x14ac:dyDescent="0.45">
      <c r="A202" s="118">
        <f t="shared" si="186"/>
        <v>194</v>
      </c>
      <c r="B202" s="57">
        <v>921</v>
      </c>
      <c r="C202" s="34" t="s">
        <v>251</v>
      </c>
      <c r="D202" s="34" t="s">
        <v>63</v>
      </c>
      <c r="E202" s="25">
        <v>2286773</v>
      </c>
      <c r="F202" s="8">
        <v>101</v>
      </c>
      <c r="G202" s="1">
        <f>VLOOKUP($F202,AF!$B$39:$M$80,G$9)*$E202</f>
        <v>0</v>
      </c>
      <c r="H202" s="1">
        <f>VLOOKUP($F202,AF!$B$39:$M$80,H$9)*$E202</f>
        <v>0</v>
      </c>
      <c r="I202" s="1">
        <f>VLOOKUP($F202,AF!$B$39:$M$80,I$9)*$E202</f>
        <v>0</v>
      </c>
      <c r="J202" s="1">
        <f>VLOOKUP($F202,AF!$B$39:$M$80,J$9)*$E202</f>
        <v>0</v>
      </c>
      <c r="K202" s="1">
        <f t="shared" si="303"/>
        <v>2286773</v>
      </c>
      <c r="L202" s="72">
        <f t="shared" si="304"/>
        <v>0</v>
      </c>
      <c r="N202" s="8">
        <v>206</v>
      </c>
      <c r="O202" s="1">
        <f>VLOOKUP($N202,AF!$B$39:$M$80,O$9)*$G202</f>
        <v>0</v>
      </c>
      <c r="P202" s="1">
        <f>VLOOKUP($N202,AF!$B$39:$M$80,P$9)*$G202</f>
        <v>0</v>
      </c>
      <c r="Q202" s="1">
        <f>VLOOKUP($N202,AF!$B$39:$M$80,Q$9)*$H202</f>
        <v>0</v>
      </c>
      <c r="R202" s="1">
        <f>VLOOKUP($N202,AF!$B$39:$M$80,R$9)*$H202</f>
        <v>0</v>
      </c>
      <c r="S202" s="1">
        <f>VLOOKUP($N202,AF!$B$39:$M$80,S$9)*$I202</f>
        <v>0</v>
      </c>
      <c r="T202" s="1">
        <f>VLOOKUP($N202,AF!$B$39:$M$80,T$9)*$I202</f>
        <v>0</v>
      </c>
      <c r="U202" s="1">
        <f>VLOOKUP($N202,AF!$B$39:$M$80,U$9)*$J202</f>
        <v>0</v>
      </c>
      <c r="V202" s="1">
        <f>VLOOKUP($N202,AF!$B$39:$M$80,V$9)*$J202</f>
        <v>0</v>
      </c>
      <c r="W202" s="1">
        <f t="shared" si="305"/>
        <v>2286773</v>
      </c>
      <c r="Y202" s="1">
        <f t="shared" si="306"/>
        <v>0</v>
      </c>
      <c r="Z202" s="1">
        <f t="shared" si="307"/>
        <v>0</v>
      </c>
      <c r="AA202" s="1">
        <f t="shared" si="308"/>
        <v>2286773</v>
      </c>
      <c r="AB202" s="72">
        <f t="shared" si="309"/>
        <v>0</v>
      </c>
      <c r="AD202" s="72">
        <v>306</v>
      </c>
      <c r="AE202" s="1">
        <f>VLOOKUP($AD202,AF!$B$39:$M$80,AE$9)*$O202</f>
        <v>0</v>
      </c>
      <c r="AF202" s="1">
        <f>VLOOKUP($AD202,AF!$B$39:$M$80,AF$9)*$P202</f>
        <v>0</v>
      </c>
      <c r="AG202" s="1">
        <f>VLOOKUP($AD202,AF!$B$39:$M$80,AG$9)*$Q202</f>
        <v>0</v>
      </c>
      <c r="AH202" s="1">
        <f>VLOOKUP($AD202,AF!$B$39:$M$80,AH$9)*$R202</f>
        <v>0</v>
      </c>
      <c r="AI202" s="1">
        <f>VLOOKUP($AD202,AF!$B$39:$M$80,AI$9)*$S202</f>
        <v>0</v>
      </c>
      <c r="AJ202" s="1">
        <f>VLOOKUP($AD202,AF!$B$39:$M$80,AJ$9)*$T202</f>
        <v>0</v>
      </c>
      <c r="AK202" s="1">
        <f>VLOOKUP($AD202,AF!$B$39:$M$80,AK$9)*$U202</f>
        <v>0</v>
      </c>
      <c r="AL202" s="1">
        <f>VLOOKUP($AD202,AF!$B$39:$M$80,AL$9)*$V202</f>
        <v>0</v>
      </c>
      <c r="AM202" s="1">
        <f t="shared" si="310"/>
        <v>2286773</v>
      </c>
      <c r="AO202" s="1">
        <f t="shared" si="311"/>
        <v>0</v>
      </c>
      <c r="AP202" s="1">
        <f t="shared" si="312"/>
        <v>0</v>
      </c>
      <c r="AQ202" s="1">
        <f t="shared" si="313"/>
        <v>2286773</v>
      </c>
      <c r="AR202" s="72">
        <f t="shared" si="314"/>
        <v>0</v>
      </c>
    </row>
    <row r="203" spans="1:44" x14ac:dyDescent="0.45">
      <c r="A203" s="118">
        <f t="shared" ref="A203:A269" si="315">+A202+1</f>
        <v>195</v>
      </c>
      <c r="B203" s="57">
        <v>922</v>
      </c>
      <c r="C203" s="34" t="s">
        <v>57</v>
      </c>
      <c r="D203" s="34" t="s">
        <v>64</v>
      </c>
      <c r="E203" s="25">
        <v>0</v>
      </c>
      <c r="F203" s="8">
        <v>101</v>
      </c>
      <c r="G203" s="1">
        <f>VLOOKUP($F203,AF!$B$39:$M$80,G$9)*$E203</f>
        <v>0</v>
      </c>
      <c r="H203" s="1">
        <f>VLOOKUP($F203,AF!$B$39:$M$80,H$9)*$E203</f>
        <v>0</v>
      </c>
      <c r="I203" s="1">
        <f>VLOOKUP($F203,AF!$B$39:$M$80,I$9)*$E203</f>
        <v>0</v>
      </c>
      <c r="J203" s="1">
        <f>VLOOKUP($F203,AF!$B$39:$M$80,J$9)*$E203</f>
        <v>0</v>
      </c>
      <c r="K203" s="1">
        <f t="shared" si="303"/>
        <v>0</v>
      </c>
      <c r="L203" s="72">
        <f t="shared" si="304"/>
        <v>0</v>
      </c>
      <c r="N203" s="8">
        <v>206</v>
      </c>
      <c r="O203" s="1">
        <f>VLOOKUP($N203,AF!$B$39:$M$80,O$9)*$G203</f>
        <v>0</v>
      </c>
      <c r="P203" s="1">
        <f>VLOOKUP($N203,AF!$B$39:$M$80,P$9)*$G203</f>
        <v>0</v>
      </c>
      <c r="Q203" s="1">
        <f>VLOOKUP($N203,AF!$B$39:$M$80,Q$9)*$H203</f>
        <v>0</v>
      </c>
      <c r="R203" s="1">
        <f>VLOOKUP($N203,AF!$B$39:$M$80,R$9)*$H203</f>
        <v>0</v>
      </c>
      <c r="S203" s="1">
        <f>VLOOKUP($N203,AF!$B$39:$M$80,S$9)*$I203</f>
        <v>0</v>
      </c>
      <c r="T203" s="1">
        <f>VLOOKUP($N203,AF!$B$39:$M$80,T$9)*$I203</f>
        <v>0</v>
      </c>
      <c r="U203" s="1">
        <f>VLOOKUP($N203,AF!$B$39:$M$80,U$9)*$J203</f>
        <v>0</v>
      </c>
      <c r="V203" s="1">
        <f>VLOOKUP($N203,AF!$B$39:$M$80,V$9)*$J203</f>
        <v>0</v>
      </c>
      <c r="W203" s="1">
        <f t="shared" si="305"/>
        <v>0</v>
      </c>
      <c r="Y203" s="1">
        <f t="shared" si="306"/>
        <v>0</v>
      </c>
      <c r="Z203" s="1">
        <f t="shared" si="307"/>
        <v>0</v>
      </c>
      <c r="AA203" s="1">
        <f t="shared" si="308"/>
        <v>0</v>
      </c>
      <c r="AB203" s="72">
        <f t="shared" si="309"/>
        <v>0</v>
      </c>
      <c r="AD203" s="72">
        <v>306</v>
      </c>
      <c r="AE203" s="1">
        <f>VLOOKUP($AD203,AF!$B$39:$M$80,AE$9)*$O203</f>
        <v>0</v>
      </c>
      <c r="AF203" s="1">
        <f>VLOOKUP($AD203,AF!$B$39:$M$80,AF$9)*$P203</f>
        <v>0</v>
      </c>
      <c r="AG203" s="1">
        <f>VLOOKUP($AD203,AF!$B$39:$M$80,AG$9)*$Q203</f>
        <v>0</v>
      </c>
      <c r="AH203" s="1">
        <f>VLOOKUP($AD203,AF!$B$39:$M$80,AH$9)*$R203</f>
        <v>0</v>
      </c>
      <c r="AI203" s="1">
        <f>VLOOKUP($AD203,AF!$B$39:$M$80,AI$9)*$S203</f>
        <v>0</v>
      </c>
      <c r="AJ203" s="1">
        <f>VLOOKUP($AD203,AF!$B$39:$M$80,AJ$9)*$T203</f>
        <v>0</v>
      </c>
      <c r="AK203" s="1">
        <f>VLOOKUP($AD203,AF!$B$39:$M$80,AK$9)*$U203</f>
        <v>0</v>
      </c>
      <c r="AL203" s="1">
        <f>VLOOKUP($AD203,AF!$B$39:$M$80,AL$9)*$V203</f>
        <v>0</v>
      </c>
      <c r="AM203" s="1">
        <f t="shared" si="310"/>
        <v>0</v>
      </c>
      <c r="AO203" s="1">
        <f t="shared" si="311"/>
        <v>0</v>
      </c>
      <c r="AP203" s="1">
        <f t="shared" si="312"/>
        <v>0</v>
      </c>
      <c r="AQ203" s="1">
        <f t="shared" si="313"/>
        <v>0</v>
      </c>
      <c r="AR203" s="72">
        <f t="shared" si="314"/>
        <v>0</v>
      </c>
    </row>
    <row r="204" spans="1:44" x14ac:dyDescent="0.45">
      <c r="A204" s="118">
        <f t="shared" si="315"/>
        <v>196</v>
      </c>
      <c r="B204" s="57">
        <v>923</v>
      </c>
      <c r="C204" s="34" t="s">
        <v>71</v>
      </c>
      <c r="D204" s="34" t="s">
        <v>65</v>
      </c>
      <c r="E204" s="25">
        <v>6274776</v>
      </c>
      <c r="F204" s="8">
        <v>101</v>
      </c>
      <c r="G204" s="1">
        <f>VLOOKUP($F204,AF!$B$39:$M$80,G$9)*$E204</f>
        <v>0</v>
      </c>
      <c r="H204" s="1">
        <f>VLOOKUP($F204,AF!$B$39:$M$80,H$9)*$E204</f>
        <v>0</v>
      </c>
      <c r="I204" s="1">
        <f>VLOOKUP($F204,AF!$B$39:$M$80,I$9)*$E204</f>
        <v>0</v>
      </c>
      <c r="J204" s="1">
        <f>VLOOKUP($F204,AF!$B$39:$M$80,J$9)*$E204</f>
        <v>0</v>
      </c>
      <c r="K204" s="1">
        <f t="shared" si="303"/>
        <v>6274776</v>
      </c>
      <c r="L204" s="72">
        <f t="shared" si="304"/>
        <v>0</v>
      </c>
      <c r="N204" s="8">
        <v>206</v>
      </c>
      <c r="O204" s="1">
        <f>VLOOKUP($N204,AF!$B$39:$M$80,O$9)*$G204</f>
        <v>0</v>
      </c>
      <c r="P204" s="1">
        <f>VLOOKUP($N204,AF!$B$39:$M$80,P$9)*$G204</f>
        <v>0</v>
      </c>
      <c r="Q204" s="1">
        <f>VLOOKUP($N204,AF!$B$39:$M$80,Q$9)*$H204</f>
        <v>0</v>
      </c>
      <c r="R204" s="1">
        <f>VLOOKUP($N204,AF!$B$39:$M$80,R$9)*$H204</f>
        <v>0</v>
      </c>
      <c r="S204" s="1">
        <f>VLOOKUP($N204,AF!$B$39:$M$80,S$9)*$I204</f>
        <v>0</v>
      </c>
      <c r="T204" s="1">
        <f>VLOOKUP($N204,AF!$B$39:$M$80,T$9)*$I204</f>
        <v>0</v>
      </c>
      <c r="U204" s="1">
        <f>VLOOKUP($N204,AF!$B$39:$M$80,U$9)*$J204</f>
        <v>0</v>
      </c>
      <c r="V204" s="1">
        <f>VLOOKUP($N204,AF!$B$39:$M$80,V$9)*$J204</f>
        <v>0</v>
      </c>
      <c r="W204" s="1">
        <f t="shared" si="305"/>
        <v>6274776</v>
      </c>
      <c r="Y204" s="1">
        <f t="shared" si="306"/>
        <v>0</v>
      </c>
      <c r="Z204" s="1">
        <f t="shared" si="307"/>
        <v>0</v>
      </c>
      <c r="AA204" s="1">
        <f t="shared" si="308"/>
        <v>6274776</v>
      </c>
      <c r="AB204" s="72">
        <f t="shared" si="309"/>
        <v>0</v>
      </c>
      <c r="AD204" s="72">
        <v>306</v>
      </c>
      <c r="AE204" s="1">
        <f>VLOOKUP($AD204,AF!$B$39:$M$80,AE$9)*$O204</f>
        <v>0</v>
      </c>
      <c r="AF204" s="1">
        <f>VLOOKUP($AD204,AF!$B$39:$M$80,AF$9)*$P204</f>
        <v>0</v>
      </c>
      <c r="AG204" s="1">
        <f>VLOOKUP($AD204,AF!$B$39:$M$80,AG$9)*$Q204</f>
        <v>0</v>
      </c>
      <c r="AH204" s="1">
        <f>VLOOKUP($AD204,AF!$B$39:$M$80,AH$9)*$R204</f>
        <v>0</v>
      </c>
      <c r="AI204" s="1">
        <f>VLOOKUP($AD204,AF!$B$39:$M$80,AI$9)*$S204</f>
        <v>0</v>
      </c>
      <c r="AJ204" s="1">
        <f>VLOOKUP($AD204,AF!$B$39:$M$80,AJ$9)*$T204</f>
        <v>0</v>
      </c>
      <c r="AK204" s="1">
        <f>VLOOKUP($AD204,AF!$B$39:$M$80,AK$9)*$U204</f>
        <v>0</v>
      </c>
      <c r="AL204" s="1">
        <f>VLOOKUP($AD204,AF!$B$39:$M$80,AL$9)*$V204</f>
        <v>0</v>
      </c>
      <c r="AM204" s="1">
        <f t="shared" si="310"/>
        <v>6274776</v>
      </c>
      <c r="AO204" s="1">
        <f t="shared" si="311"/>
        <v>0</v>
      </c>
      <c r="AP204" s="1">
        <f t="shared" si="312"/>
        <v>0</v>
      </c>
      <c r="AQ204" s="1">
        <f t="shared" si="313"/>
        <v>6274776</v>
      </c>
      <c r="AR204" s="72">
        <f t="shared" si="314"/>
        <v>0</v>
      </c>
    </row>
    <row r="205" spans="1:44" x14ac:dyDescent="0.45">
      <c r="A205" s="118">
        <f t="shared" si="315"/>
        <v>197</v>
      </c>
      <c r="B205" s="57">
        <v>924</v>
      </c>
      <c r="C205" s="34" t="s">
        <v>58</v>
      </c>
      <c r="D205" s="34" t="s">
        <v>239</v>
      </c>
      <c r="E205" s="25">
        <f>3899589-E206</f>
        <v>3627729.05</v>
      </c>
      <c r="F205" s="8">
        <v>101</v>
      </c>
      <c r="G205" s="1">
        <f>VLOOKUP($F205,AF!$B$39:$M$80,G$9)*$E205</f>
        <v>0</v>
      </c>
      <c r="H205" s="1">
        <f>VLOOKUP($F205,AF!$B$39:$M$80,H$9)*$E205</f>
        <v>0</v>
      </c>
      <c r="I205" s="1">
        <f>VLOOKUP($F205,AF!$B$39:$M$80,I$9)*$E205</f>
        <v>0</v>
      </c>
      <c r="J205" s="1">
        <f>VLOOKUP($F205,AF!$B$39:$M$80,J$9)*$E205</f>
        <v>0</v>
      </c>
      <c r="K205" s="1">
        <f t="shared" si="303"/>
        <v>3627729.05</v>
      </c>
      <c r="L205" s="72">
        <f t="shared" si="304"/>
        <v>0</v>
      </c>
      <c r="N205" s="8">
        <v>206</v>
      </c>
      <c r="O205" s="1">
        <f>VLOOKUP($N205,AF!$B$39:$M$80,O$9)*$G205</f>
        <v>0</v>
      </c>
      <c r="P205" s="1">
        <f>VLOOKUP($N205,AF!$B$39:$M$80,P$9)*$G205</f>
        <v>0</v>
      </c>
      <c r="Q205" s="1">
        <f>VLOOKUP($N205,AF!$B$39:$M$80,Q$9)*$H205</f>
        <v>0</v>
      </c>
      <c r="R205" s="1">
        <f>VLOOKUP($N205,AF!$B$39:$M$80,R$9)*$H205</f>
        <v>0</v>
      </c>
      <c r="S205" s="1">
        <f>VLOOKUP($N205,AF!$B$39:$M$80,S$9)*$I205</f>
        <v>0</v>
      </c>
      <c r="T205" s="1">
        <f>VLOOKUP($N205,AF!$B$39:$M$80,T$9)*$I205</f>
        <v>0</v>
      </c>
      <c r="U205" s="1">
        <f>VLOOKUP($N205,AF!$B$39:$M$80,U$9)*$J205</f>
        <v>0</v>
      </c>
      <c r="V205" s="1">
        <f>VLOOKUP($N205,AF!$B$39:$M$80,V$9)*$J205</f>
        <v>0</v>
      </c>
      <c r="W205" s="1">
        <f t="shared" si="305"/>
        <v>3627729.05</v>
      </c>
      <c r="Y205" s="1">
        <f t="shared" si="306"/>
        <v>0</v>
      </c>
      <c r="Z205" s="1">
        <f t="shared" si="307"/>
        <v>0</v>
      </c>
      <c r="AA205" s="1">
        <f t="shared" si="308"/>
        <v>3627729.05</v>
      </c>
      <c r="AB205" s="72">
        <f t="shared" si="309"/>
        <v>0</v>
      </c>
      <c r="AD205" s="72">
        <v>306</v>
      </c>
      <c r="AE205" s="1">
        <f>VLOOKUP($AD205,AF!$B$39:$M$80,AE$9)*$O205</f>
        <v>0</v>
      </c>
      <c r="AF205" s="1">
        <f>VLOOKUP($AD205,AF!$B$39:$M$80,AF$9)*$P205</f>
        <v>0</v>
      </c>
      <c r="AG205" s="1">
        <f>VLOOKUP($AD205,AF!$B$39:$M$80,AG$9)*$Q205</f>
        <v>0</v>
      </c>
      <c r="AH205" s="1">
        <f>VLOOKUP($AD205,AF!$B$39:$M$80,AH$9)*$R205</f>
        <v>0</v>
      </c>
      <c r="AI205" s="1">
        <f>VLOOKUP($AD205,AF!$B$39:$M$80,AI$9)*$S205</f>
        <v>0</v>
      </c>
      <c r="AJ205" s="1">
        <f>VLOOKUP($AD205,AF!$B$39:$M$80,AJ$9)*$T205</f>
        <v>0</v>
      </c>
      <c r="AK205" s="1">
        <f>VLOOKUP($AD205,AF!$B$39:$M$80,AK$9)*$U205</f>
        <v>0</v>
      </c>
      <c r="AL205" s="1">
        <f>VLOOKUP($AD205,AF!$B$39:$M$80,AL$9)*$V205</f>
        <v>0</v>
      </c>
      <c r="AM205" s="1">
        <f t="shared" si="310"/>
        <v>3627729.05</v>
      </c>
      <c r="AO205" s="1">
        <f t="shared" si="311"/>
        <v>0</v>
      </c>
      <c r="AP205" s="1">
        <f t="shared" si="312"/>
        <v>0</v>
      </c>
      <c r="AQ205" s="1">
        <f t="shared" si="313"/>
        <v>3627729.05</v>
      </c>
      <c r="AR205" s="72">
        <f t="shared" si="314"/>
        <v>0</v>
      </c>
    </row>
    <row r="206" spans="1:44" x14ac:dyDescent="0.45">
      <c r="A206" s="118">
        <f t="shared" si="315"/>
        <v>198</v>
      </c>
      <c r="B206" s="57" t="s">
        <v>573</v>
      </c>
      <c r="C206" s="34" t="s">
        <v>144</v>
      </c>
      <c r="D206" s="34"/>
      <c r="E206" s="17">
        <f>SUM(G206:K206)</f>
        <v>271859.95</v>
      </c>
      <c r="F206" s="72">
        <v>100</v>
      </c>
      <c r="G206" s="25">
        <v>15180.15</v>
      </c>
      <c r="H206" s="27">
        <v>33587.9</v>
      </c>
      <c r="I206" s="25">
        <v>136763.6</v>
      </c>
      <c r="J206" s="25">
        <v>0</v>
      </c>
      <c r="K206" s="25">
        <f>4591.14+34982+46755.16</f>
        <v>86328.3</v>
      </c>
      <c r="L206" s="72">
        <f t="shared" si="304"/>
        <v>0</v>
      </c>
      <c r="N206" s="8">
        <v>205</v>
      </c>
      <c r="O206" s="1">
        <f>VLOOKUP($N206,AF!$B$39:$M$80,O$9)*$G206</f>
        <v>7552.132869653482</v>
      </c>
      <c r="P206" s="1">
        <f>VLOOKUP($N206,AF!$B$39:$M$80,P$9)*$G206</f>
        <v>7628.0171303465177</v>
      </c>
      <c r="Q206" s="1">
        <f>VLOOKUP($N206,AF!$B$39:$M$80,Q$9)*$H206</f>
        <v>33587.9</v>
      </c>
      <c r="R206" s="1">
        <f>VLOOKUP($N206,AF!$B$39:$M$80,R$9)*$H206</f>
        <v>0</v>
      </c>
      <c r="S206" s="1">
        <f>VLOOKUP($N206,AF!$B$39:$M$80,S$9)*$I206</f>
        <v>136763.6</v>
      </c>
      <c r="T206" s="1">
        <f>VLOOKUP($N206,AF!$B$39:$M$80,T$9)*$I206</f>
        <v>0</v>
      </c>
      <c r="U206" s="1">
        <f>VLOOKUP($N206,AF!$B$39:$M$80,U$9)*$J206</f>
        <v>0</v>
      </c>
      <c r="V206" s="1">
        <f>VLOOKUP($N206,AF!$B$39:$M$80,V$9)*$J206</f>
        <v>0</v>
      </c>
      <c r="W206" s="1">
        <f t="shared" si="305"/>
        <v>86328.299999999988</v>
      </c>
      <c r="Y206" s="1">
        <f t="shared" si="306"/>
        <v>177903.63286965349</v>
      </c>
      <c r="Z206" s="1">
        <f t="shared" si="307"/>
        <v>7628.0171303465177</v>
      </c>
      <c r="AA206" s="1">
        <f t="shared" si="308"/>
        <v>271859.95</v>
      </c>
      <c r="AB206" s="72">
        <f t="shared" si="309"/>
        <v>0</v>
      </c>
      <c r="AD206" s="72">
        <v>305</v>
      </c>
      <c r="AE206" s="1">
        <f ca="1">VLOOKUP($AD206,AF!$B$39:$M$80,AE$9)*$O206</f>
        <v>5937.0273347158472</v>
      </c>
      <c r="AF206" s="1">
        <f ca="1">VLOOKUP($AD206,AF!$B$39:$M$80,AF$9)*$P206</f>
        <v>2129.425253444856</v>
      </c>
      <c r="AG206" s="1">
        <f ca="1">VLOOKUP($AD206,AF!$B$39:$M$80,AG$9)*$Q206</f>
        <v>20562.599266535795</v>
      </c>
      <c r="AH206" s="1">
        <f ca="1">VLOOKUP($AD206,AF!$B$39:$M$80,AH$9)*$R206</f>
        <v>0</v>
      </c>
      <c r="AI206" s="1">
        <f ca="1">VLOOKUP($AD206,AF!$B$39:$M$80,AI$9)*$S206</f>
        <v>42264.872460138824</v>
      </c>
      <c r="AJ206" s="1">
        <f ca="1">VLOOKUP($AD206,AF!$B$39:$M$80,AJ$9)*$T206</f>
        <v>0</v>
      </c>
      <c r="AK206" s="1">
        <f ca="1">VLOOKUP($AD206,AF!$B$39:$M$80,AK$9)*$U206</f>
        <v>0</v>
      </c>
      <c r="AL206" s="1">
        <f ca="1">VLOOKUP($AD206,AF!$B$39:$M$80,AL$9)*$V206</f>
        <v>0</v>
      </c>
      <c r="AM206" s="1">
        <f t="shared" ca="1" si="310"/>
        <v>200966.02568516467</v>
      </c>
      <c r="AO206" s="1">
        <f t="shared" ca="1" si="311"/>
        <v>68764.499061390467</v>
      </c>
      <c r="AP206" s="1">
        <f t="shared" ca="1" si="312"/>
        <v>2129.425253444856</v>
      </c>
      <c r="AQ206" s="1">
        <f t="shared" ca="1" si="313"/>
        <v>271859.95</v>
      </c>
      <c r="AR206" s="72">
        <f t="shared" ca="1" si="314"/>
        <v>0</v>
      </c>
    </row>
    <row r="207" spans="1:44" x14ac:dyDescent="0.45">
      <c r="A207" s="118">
        <f t="shared" si="315"/>
        <v>199</v>
      </c>
      <c r="B207" s="57">
        <v>925</v>
      </c>
      <c r="C207" s="34" t="s">
        <v>355</v>
      </c>
      <c r="D207" s="34" t="s">
        <v>356</v>
      </c>
      <c r="E207" s="25">
        <v>5204</v>
      </c>
      <c r="F207" s="8">
        <v>101</v>
      </c>
      <c r="G207" s="1">
        <f>VLOOKUP($F207,AF!$B$39:$M$80,G$9)*$E207</f>
        <v>0</v>
      </c>
      <c r="H207" s="1">
        <f>VLOOKUP($F207,AF!$B$39:$M$80,H$9)*$E207</f>
        <v>0</v>
      </c>
      <c r="I207" s="1">
        <f>VLOOKUP($F207,AF!$B$39:$M$80,I$9)*$E207</f>
        <v>0</v>
      </c>
      <c r="J207" s="1">
        <f>VLOOKUP($F207,AF!$B$39:$M$80,J$9)*$E207</f>
        <v>0</v>
      </c>
      <c r="K207" s="1">
        <f t="shared" ref="K207:K214" si="316">E207-SUM(G207:J207)</f>
        <v>5204</v>
      </c>
      <c r="L207" s="72">
        <f t="shared" si="304"/>
        <v>0</v>
      </c>
      <c r="N207" s="8">
        <v>206</v>
      </c>
      <c r="O207" s="1">
        <f>VLOOKUP($N207,AF!$B$39:$M$80,O$9)*$G207</f>
        <v>0</v>
      </c>
      <c r="P207" s="1">
        <f>VLOOKUP($N207,AF!$B$39:$M$80,P$9)*$G207</f>
        <v>0</v>
      </c>
      <c r="Q207" s="1">
        <f>VLOOKUP($N207,AF!$B$39:$M$80,Q$9)*$H207</f>
        <v>0</v>
      </c>
      <c r="R207" s="1">
        <f>VLOOKUP($N207,AF!$B$39:$M$80,R$9)*$H207</f>
        <v>0</v>
      </c>
      <c r="S207" s="1">
        <f>VLOOKUP($N207,AF!$B$39:$M$80,S$9)*$I207</f>
        <v>0</v>
      </c>
      <c r="T207" s="1">
        <f>VLOOKUP($N207,AF!$B$39:$M$80,T$9)*$I207</f>
        <v>0</v>
      </c>
      <c r="U207" s="1">
        <f>VLOOKUP($N207,AF!$B$39:$M$80,U$9)*$J207</f>
        <v>0</v>
      </c>
      <c r="V207" s="1">
        <f>VLOOKUP($N207,AF!$B$39:$M$80,V$9)*$J207</f>
        <v>0</v>
      </c>
      <c r="W207" s="1">
        <f t="shared" si="305"/>
        <v>5204</v>
      </c>
      <c r="Y207" s="1">
        <f t="shared" si="306"/>
        <v>0</v>
      </c>
      <c r="Z207" s="1">
        <f t="shared" si="307"/>
        <v>0</v>
      </c>
      <c r="AA207" s="1">
        <f t="shared" si="308"/>
        <v>5204</v>
      </c>
      <c r="AB207" s="72">
        <f t="shared" si="309"/>
        <v>0</v>
      </c>
      <c r="AD207" s="72">
        <v>306</v>
      </c>
      <c r="AE207" s="1">
        <f>VLOOKUP($AD207,AF!$B$39:$M$80,AE$9)*$O207</f>
        <v>0</v>
      </c>
      <c r="AF207" s="1">
        <f>VLOOKUP($AD207,AF!$B$39:$M$80,AF$9)*$P207</f>
        <v>0</v>
      </c>
      <c r="AG207" s="1">
        <f>VLOOKUP($AD207,AF!$B$39:$M$80,AG$9)*$Q207</f>
        <v>0</v>
      </c>
      <c r="AH207" s="1">
        <f>VLOOKUP($AD207,AF!$B$39:$M$80,AH$9)*$R207</f>
        <v>0</v>
      </c>
      <c r="AI207" s="1">
        <f>VLOOKUP($AD207,AF!$B$39:$M$80,AI$9)*$S207</f>
        <v>0</v>
      </c>
      <c r="AJ207" s="1">
        <f>VLOOKUP($AD207,AF!$B$39:$M$80,AJ$9)*$T207</f>
        <v>0</v>
      </c>
      <c r="AK207" s="1">
        <f>VLOOKUP($AD207,AF!$B$39:$M$80,AK$9)*$U207</f>
        <v>0</v>
      </c>
      <c r="AL207" s="1">
        <f>VLOOKUP($AD207,AF!$B$39:$M$80,AL$9)*$V207</f>
        <v>0</v>
      </c>
      <c r="AM207" s="1">
        <f t="shared" si="310"/>
        <v>5204</v>
      </c>
      <c r="AO207" s="1">
        <f t="shared" si="311"/>
        <v>0</v>
      </c>
      <c r="AP207" s="1">
        <f t="shared" si="312"/>
        <v>0</v>
      </c>
      <c r="AQ207" s="1">
        <f t="shared" si="313"/>
        <v>5204</v>
      </c>
      <c r="AR207" s="72">
        <f t="shared" si="314"/>
        <v>0</v>
      </c>
    </row>
    <row r="208" spans="1:44" x14ac:dyDescent="0.45">
      <c r="A208" s="118">
        <f t="shared" si="315"/>
        <v>200</v>
      </c>
      <c r="B208" s="57">
        <v>926</v>
      </c>
      <c r="C208" s="34" t="s">
        <v>59</v>
      </c>
      <c r="D208" s="34" t="s">
        <v>66</v>
      </c>
      <c r="E208" s="25">
        <v>4927851</v>
      </c>
      <c r="F208" s="8">
        <v>101</v>
      </c>
      <c r="G208" s="1">
        <f>VLOOKUP($F208,AF!$B$39:$M$80,G$9)*$E208</f>
        <v>0</v>
      </c>
      <c r="H208" s="1">
        <f>VLOOKUP($F208,AF!$B$39:$M$80,H$9)*$E208</f>
        <v>0</v>
      </c>
      <c r="I208" s="1">
        <f>VLOOKUP($F208,AF!$B$39:$M$80,I$9)*$E208</f>
        <v>0</v>
      </c>
      <c r="J208" s="1">
        <f>VLOOKUP($F208,AF!$B$39:$M$80,J$9)*$E208</f>
        <v>0</v>
      </c>
      <c r="K208" s="1">
        <f t="shared" si="316"/>
        <v>4927851</v>
      </c>
      <c r="L208" s="72">
        <f t="shared" si="304"/>
        <v>0</v>
      </c>
      <c r="N208" s="8">
        <v>206</v>
      </c>
      <c r="O208" s="1">
        <f>VLOOKUP($N208,AF!$B$39:$M$80,O$9)*$G208</f>
        <v>0</v>
      </c>
      <c r="P208" s="1">
        <f>VLOOKUP($N208,AF!$B$39:$M$80,P$9)*$G208</f>
        <v>0</v>
      </c>
      <c r="Q208" s="1">
        <f>VLOOKUP($N208,AF!$B$39:$M$80,Q$9)*$H208</f>
        <v>0</v>
      </c>
      <c r="R208" s="1">
        <f>VLOOKUP($N208,AF!$B$39:$M$80,R$9)*$H208</f>
        <v>0</v>
      </c>
      <c r="S208" s="1">
        <f>VLOOKUP($N208,AF!$B$39:$M$80,S$9)*$I208</f>
        <v>0</v>
      </c>
      <c r="T208" s="1">
        <f>VLOOKUP($N208,AF!$B$39:$M$80,T$9)*$I208</f>
        <v>0</v>
      </c>
      <c r="U208" s="1">
        <f>VLOOKUP($N208,AF!$B$39:$M$80,U$9)*$J208</f>
        <v>0</v>
      </c>
      <c r="V208" s="1">
        <f>VLOOKUP($N208,AF!$B$39:$M$80,V$9)*$J208</f>
        <v>0</v>
      </c>
      <c r="W208" s="1">
        <f t="shared" si="305"/>
        <v>4927851</v>
      </c>
      <c r="Y208" s="1">
        <f t="shared" si="306"/>
        <v>0</v>
      </c>
      <c r="Z208" s="1">
        <f t="shared" si="307"/>
        <v>0</v>
      </c>
      <c r="AA208" s="1">
        <f t="shared" si="308"/>
        <v>4927851</v>
      </c>
      <c r="AB208" s="72">
        <f t="shared" si="309"/>
        <v>0</v>
      </c>
      <c r="AD208" s="72">
        <v>306</v>
      </c>
      <c r="AE208" s="1">
        <f>VLOOKUP($AD208,AF!$B$39:$M$80,AE$9)*$O208</f>
        <v>0</v>
      </c>
      <c r="AF208" s="1">
        <f>VLOOKUP($AD208,AF!$B$39:$M$80,AF$9)*$P208</f>
        <v>0</v>
      </c>
      <c r="AG208" s="1">
        <f>VLOOKUP($AD208,AF!$B$39:$M$80,AG$9)*$Q208</f>
        <v>0</v>
      </c>
      <c r="AH208" s="1">
        <f>VLOOKUP($AD208,AF!$B$39:$M$80,AH$9)*$R208</f>
        <v>0</v>
      </c>
      <c r="AI208" s="1">
        <f>VLOOKUP($AD208,AF!$B$39:$M$80,AI$9)*$S208</f>
        <v>0</v>
      </c>
      <c r="AJ208" s="1">
        <f>VLOOKUP($AD208,AF!$B$39:$M$80,AJ$9)*$T208</f>
        <v>0</v>
      </c>
      <c r="AK208" s="1">
        <f>VLOOKUP($AD208,AF!$B$39:$M$80,AK$9)*$U208</f>
        <v>0</v>
      </c>
      <c r="AL208" s="1">
        <f>VLOOKUP($AD208,AF!$B$39:$M$80,AL$9)*$V208</f>
        <v>0</v>
      </c>
      <c r="AM208" s="1">
        <f t="shared" si="310"/>
        <v>4927851</v>
      </c>
      <c r="AO208" s="1">
        <f t="shared" si="311"/>
        <v>0</v>
      </c>
      <c r="AP208" s="1">
        <f t="shared" si="312"/>
        <v>0</v>
      </c>
      <c r="AQ208" s="1">
        <f t="shared" si="313"/>
        <v>4927851</v>
      </c>
      <c r="AR208" s="72">
        <f t="shared" si="314"/>
        <v>0</v>
      </c>
    </row>
    <row r="209" spans="1:44" x14ac:dyDescent="0.45">
      <c r="A209" s="118">
        <f t="shared" si="315"/>
        <v>201</v>
      </c>
      <c r="B209" s="57">
        <v>927</v>
      </c>
      <c r="C209" s="34" t="s">
        <v>357</v>
      </c>
      <c r="D209" s="34" t="s">
        <v>358</v>
      </c>
      <c r="E209" s="25">
        <v>0</v>
      </c>
      <c r="F209" s="8">
        <v>101</v>
      </c>
      <c r="G209" s="1">
        <f>VLOOKUP($F209,AF!$B$39:$M$80,G$9)*$E209</f>
        <v>0</v>
      </c>
      <c r="H209" s="1">
        <f>VLOOKUP($F209,AF!$B$39:$M$80,H$9)*$E209</f>
        <v>0</v>
      </c>
      <c r="I209" s="1">
        <f>VLOOKUP($F209,AF!$B$39:$M$80,I$9)*$E209</f>
        <v>0</v>
      </c>
      <c r="J209" s="1">
        <f>VLOOKUP($F209,AF!$B$39:$M$80,J$9)*$E209</f>
        <v>0</v>
      </c>
      <c r="K209" s="1">
        <f t="shared" si="316"/>
        <v>0</v>
      </c>
      <c r="L209" s="72">
        <f t="shared" si="304"/>
        <v>0</v>
      </c>
      <c r="N209" s="8">
        <v>206</v>
      </c>
      <c r="O209" s="1">
        <f>VLOOKUP($N209,AF!$B$39:$M$80,O$9)*$G209</f>
        <v>0</v>
      </c>
      <c r="P209" s="1">
        <f>VLOOKUP($N209,AF!$B$39:$M$80,P$9)*$G209</f>
        <v>0</v>
      </c>
      <c r="Q209" s="1">
        <f>VLOOKUP($N209,AF!$B$39:$M$80,Q$9)*$H209</f>
        <v>0</v>
      </c>
      <c r="R209" s="1">
        <f>VLOOKUP($N209,AF!$B$39:$M$80,R$9)*$H209</f>
        <v>0</v>
      </c>
      <c r="S209" s="1">
        <f>VLOOKUP($N209,AF!$B$39:$M$80,S$9)*$I209</f>
        <v>0</v>
      </c>
      <c r="T209" s="1">
        <f>VLOOKUP($N209,AF!$B$39:$M$80,T$9)*$I209</f>
        <v>0</v>
      </c>
      <c r="U209" s="1">
        <f>VLOOKUP($N209,AF!$B$39:$M$80,U$9)*$J209</f>
        <v>0</v>
      </c>
      <c r="V209" s="1">
        <f>VLOOKUP($N209,AF!$B$39:$M$80,V$9)*$J209</f>
        <v>0</v>
      </c>
      <c r="W209" s="1">
        <f t="shared" si="305"/>
        <v>0</v>
      </c>
      <c r="Y209" s="1">
        <f t="shared" si="306"/>
        <v>0</v>
      </c>
      <c r="Z209" s="1">
        <f t="shared" si="307"/>
        <v>0</v>
      </c>
      <c r="AA209" s="1">
        <f t="shared" si="308"/>
        <v>0</v>
      </c>
      <c r="AB209" s="72">
        <f t="shared" si="309"/>
        <v>0</v>
      </c>
      <c r="AD209" s="72">
        <v>306</v>
      </c>
      <c r="AE209" s="1">
        <f>VLOOKUP($AD209,AF!$B$39:$M$80,AE$9)*$O209</f>
        <v>0</v>
      </c>
      <c r="AF209" s="1">
        <f>VLOOKUP($AD209,AF!$B$39:$M$80,AF$9)*$P209</f>
        <v>0</v>
      </c>
      <c r="AG209" s="1">
        <f>VLOOKUP($AD209,AF!$B$39:$M$80,AG$9)*$Q209</f>
        <v>0</v>
      </c>
      <c r="AH209" s="1">
        <f>VLOOKUP($AD209,AF!$B$39:$M$80,AH$9)*$R209</f>
        <v>0</v>
      </c>
      <c r="AI209" s="1">
        <f>VLOOKUP($AD209,AF!$B$39:$M$80,AI$9)*$S209</f>
        <v>0</v>
      </c>
      <c r="AJ209" s="1">
        <f>VLOOKUP($AD209,AF!$B$39:$M$80,AJ$9)*$T209</f>
        <v>0</v>
      </c>
      <c r="AK209" s="1">
        <f>VLOOKUP($AD209,AF!$B$39:$M$80,AK$9)*$U209</f>
        <v>0</v>
      </c>
      <c r="AL209" s="1">
        <f>VLOOKUP($AD209,AF!$B$39:$M$80,AL$9)*$V209</f>
        <v>0</v>
      </c>
      <c r="AM209" s="1">
        <f t="shared" si="310"/>
        <v>0</v>
      </c>
      <c r="AO209" s="1">
        <f t="shared" si="311"/>
        <v>0</v>
      </c>
      <c r="AP209" s="1">
        <f t="shared" si="312"/>
        <v>0</v>
      </c>
      <c r="AQ209" s="1">
        <f t="shared" si="313"/>
        <v>0</v>
      </c>
      <c r="AR209" s="72">
        <f t="shared" si="314"/>
        <v>0</v>
      </c>
    </row>
    <row r="210" spans="1:44" x14ac:dyDescent="0.45">
      <c r="A210" s="118">
        <f t="shared" si="315"/>
        <v>202</v>
      </c>
      <c r="B210" s="57">
        <v>928</v>
      </c>
      <c r="C210" s="34" t="s">
        <v>359</v>
      </c>
      <c r="D210" s="34" t="s">
        <v>360</v>
      </c>
      <c r="E210" s="25">
        <v>4532</v>
      </c>
      <c r="F210" s="8">
        <v>101</v>
      </c>
      <c r="G210" s="1">
        <f>VLOOKUP($F210,AF!$B$39:$M$80,G$9)*$E210</f>
        <v>0</v>
      </c>
      <c r="H210" s="1">
        <f>VLOOKUP($F210,AF!$B$39:$M$80,H$9)*$E210</f>
        <v>0</v>
      </c>
      <c r="I210" s="1">
        <f>VLOOKUP($F210,AF!$B$39:$M$80,I$9)*$E210</f>
        <v>0</v>
      </c>
      <c r="J210" s="1">
        <f>VLOOKUP($F210,AF!$B$39:$M$80,J$9)*$E210</f>
        <v>0</v>
      </c>
      <c r="K210" s="1">
        <f t="shared" si="316"/>
        <v>4532</v>
      </c>
      <c r="L210" s="72">
        <f t="shared" si="304"/>
        <v>0</v>
      </c>
      <c r="N210" s="8">
        <v>206</v>
      </c>
      <c r="O210" s="1">
        <f>VLOOKUP($N210,AF!$B$39:$M$80,O$9)*$G210</f>
        <v>0</v>
      </c>
      <c r="P210" s="1">
        <f>VLOOKUP($N210,AF!$B$39:$M$80,P$9)*$G210</f>
        <v>0</v>
      </c>
      <c r="Q210" s="1">
        <f>VLOOKUP($N210,AF!$B$39:$M$80,Q$9)*$H210</f>
        <v>0</v>
      </c>
      <c r="R210" s="1">
        <f>VLOOKUP($N210,AF!$B$39:$M$80,R$9)*$H210</f>
        <v>0</v>
      </c>
      <c r="S210" s="1">
        <f>VLOOKUP($N210,AF!$B$39:$M$80,S$9)*$I210</f>
        <v>0</v>
      </c>
      <c r="T210" s="1">
        <f>VLOOKUP($N210,AF!$B$39:$M$80,T$9)*$I210</f>
        <v>0</v>
      </c>
      <c r="U210" s="1">
        <f>VLOOKUP($N210,AF!$B$39:$M$80,U$9)*$J210</f>
        <v>0</v>
      </c>
      <c r="V210" s="1">
        <f>VLOOKUP($N210,AF!$B$39:$M$80,V$9)*$J210</f>
        <v>0</v>
      </c>
      <c r="W210" s="1">
        <f t="shared" si="305"/>
        <v>4532</v>
      </c>
      <c r="Y210" s="1">
        <f t="shared" si="306"/>
        <v>0</v>
      </c>
      <c r="Z210" s="1">
        <f t="shared" si="307"/>
        <v>0</v>
      </c>
      <c r="AA210" s="1">
        <f t="shared" si="308"/>
        <v>4532</v>
      </c>
      <c r="AB210" s="72">
        <f t="shared" si="309"/>
        <v>0</v>
      </c>
      <c r="AD210" s="72">
        <v>306</v>
      </c>
      <c r="AE210" s="1">
        <f>VLOOKUP($AD210,AF!$B$39:$M$80,AE$9)*$O210</f>
        <v>0</v>
      </c>
      <c r="AF210" s="1">
        <f>VLOOKUP($AD210,AF!$B$39:$M$80,AF$9)*$P210</f>
        <v>0</v>
      </c>
      <c r="AG210" s="1">
        <f>VLOOKUP($AD210,AF!$B$39:$M$80,AG$9)*$Q210</f>
        <v>0</v>
      </c>
      <c r="AH210" s="1">
        <f>VLOOKUP($AD210,AF!$B$39:$M$80,AH$9)*$R210</f>
        <v>0</v>
      </c>
      <c r="AI210" s="1">
        <f>VLOOKUP($AD210,AF!$B$39:$M$80,AI$9)*$S210</f>
        <v>0</v>
      </c>
      <c r="AJ210" s="1">
        <f>VLOOKUP($AD210,AF!$B$39:$M$80,AJ$9)*$T210</f>
        <v>0</v>
      </c>
      <c r="AK210" s="1">
        <f>VLOOKUP($AD210,AF!$B$39:$M$80,AK$9)*$U210</f>
        <v>0</v>
      </c>
      <c r="AL210" s="1">
        <f>VLOOKUP($AD210,AF!$B$39:$M$80,AL$9)*$V210</f>
        <v>0</v>
      </c>
      <c r="AM210" s="1">
        <f t="shared" si="310"/>
        <v>4532</v>
      </c>
      <c r="AO210" s="1">
        <f t="shared" si="311"/>
        <v>0</v>
      </c>
      <c r="AP210" s="1">
        <f t="shared" si="312"/>
        <v>0</v>
      </c>
      <c r="AQ210" s="1">
        <f t="shared" si="313"/>
        <v>4532</v>
      </c>
      <c r="AR210" s="72">
        <f t="shared" si="314"/>
        <v>0</v>
      </c>
    </row>
    <row r="211" spans="1:44" x14ac:dyDescent="0.45">
      <c r="A211" s="118">
        <f t="shared" si="315"/>
        <v>203</v>
      </c>
      <c r="B211" s="57">
        <v>929</v>
      </c>
      <c r="C211" s="34" t="s">
        <v>361</v>
      </c>
      <c r="D211" s="34" t="s">
        <v>362</v>
      </c>
      <c r="E211" s="25">
        <v>0</v>
      </c>
      <c r="F211" s="8">
        <v>101</v>
      </c>
      <c r="G211" s="1">
        <f>VLOOKUP($F211,AF!$B$39:$M$80,G$9)*$E211</f>
        <v>0</v>
      </c>
      <c r="H211" s="1">
        <f>VLOOKUP($F211,AF!$B$39:$M$80,H$9)*$E211</f>
        <v>0</v>
      </c>
      <c r="I211" s="1">
        <f>VLOOKUP($F211,AF!$B$39:$M$80,I$9)*$E211</f>
        <v>0</v>
      </c>
      <c r="J211" s="1">
        <f>VLOOKUP($F211,AF!$B$39:$M$80,J$9)*$E211</f>
        <v>0</v>
      </c>
      <c r="K211" s="1">
        <f t="shared" si="316"/>
        <v>0</v>
      </c>
      <c r="L211" s="72">
        <f t="shared" si="304"/>
        <v>0</v>
      </c>
      <c r="N211" s="8">
        <v>206</v>
      </c>
      <c r="O211" s="1">
        <f>VLOOKUP($N211,AF!$B$39:$M$80,O$9)*$G211</f>
        <v>0</v>
      </c>
      <c r="P211" s="1">
        <f>VLOOKUP($N211,AF!$B$39:$M$80,P$9)*$G211</f>
        <v>0</v>
      </c>
      <c r="Q211" s="1">
        <f>VLOOKUP($N211,AF!$B$39:$M$80,Q$9)*$H211</f>
        <v>0</v>
      </c>
      <c r="R211" s="1">
        <f>VLOOKUP($N211,AF!$B$39:$M$80,R$9)*$H211</f>
        <v>0</v>
      </c>
      <c r="S211" s="1">
        <f>VLOOKUP($N211,AF!$B$39:$M$80,S$9)*$I211</f>
        <v>0</v>
      </c>
      <c r="T211" s="1">
        <f>VLOOKUP($N211,AF!$B$39:$M$80,T$9)*$I211</f>
        <v>0</v>
      </c>
      <c r="U211" s="1">
        <f>VLOOKUP($N211,AF!$B$39:$M$80,U$9)*$J211</f>
        <v>0</v>
      </c>
      <c r="V211" s="1">
        <f>VLOOKUP($N211,AF!$B$39:$M$80,V$9)*$J211</f>
        <v>0</v>
      </c>
      <c r="W211" s="1">
        <f t="shared" si="305"/>
        <v>0</v>
      </c>
      <c r="Y211" s="1">
        <f t="shared" si="306"/>
        <v>0</v>
      </c>
      <c r="Z211" s="1">
        <f t="shared" si="307"/>
        <v>0</v>
      </c>
      <c r="AA211" s="1">
        <f t="shared" si="308"/>
        <v>0</v>
      </c>
      <c r="AB211" s="72">
        <f t="shared" si="309"/>
        <v>0</v>
      </c>
      <c r="AD211" s="72">
        <v>306</v>
      </c>
      <c r="AE211" s="1">
        <f>VLOOKUP($AD211,AF!$B$39:$M$80,AE$9)*$O211</f>
        <v>0</v>
      </c>
      <c r="AF211" s="1">
        <f>VLOOKUP($AD211,AF!$B$39:$M$80,AF$9)*$P211</f>
        <v>0</v>
      </c>
      <c r="AG211" s="1">
        <f>VLOOKUP($AD211,AF!$B$39:$M$80,AG$9)*$Q211</f>
        <v>0</v>
      </c>
      <c r="AH211" s="1">
        <f>VLOOKUP($AD211,AF!$B$39:$M$80,AH$9)*$R211</f>
        <v>0</v>
      </c>
      <c r="AI211" s="1">
        <f>VLOOKUP($AD211,AF!$B$39:$M$80,AI$9)*$S211</f>
        <v>0</v>
      </c>
      <c r="AJ211" s="1">
        <f>VLOOKUP($AD211,AF!$B$39:$M$80,AJ$9)*$T211</f>
        <v>0</v>
      </c>
      <c r="AK211" s="1">
        <f>VLOOKUP($AD211,AF!$B$39:$M$80,AK$9)*$U211</f>
        <v>0</v>
      </c>
      <c r="AL211" s="1">
        <f>VLOOKUP($AD211,AF!$B$39:$M$80,AL$9)*$V211</f>
        <v>0</v>
      </c>
      <c r="AM211" s="1">
        <f t="shared" si="310"/>
        <v>0</v>
      </c>
      <c r="AO211" s="1">
        <f t="shared" si="311"/>
        <v>0</v>
      </c>
      <c r="AP211" s="1">
        <f t="shared" si="312"/>
        <v>0</v>
      </c>
      <c r="AQ211" s="1">
        <f t="shared" si="313"/>
        <v>0</v>
      </c>
      <c r="AR211" s="72">
        <f t="shared" si="314"/>
        <v>0</v>
      </c>
    </row>
    <row r="212" spans="1:44" x14ac:dyDescent="0.45">
      <c r="A212" s="118">
        <f t="shared" si="315"/>
        <v>204</v>
      </c>
      <c r="B212" s="57">
        <v>930.1</v>
      </c>
      <c r="C212" s="34" t="s">
        <v>60</v>
      </c>
      <c r="D212" s="34" t="s">
        <v>67</v>
      </c>
      <c r="E212" s="25">
        <v>56672</v>
      </c>
      <c r="F212" s="8">
        <v>101</v>
      </c>
      <c r="G212" s="1">
        <f>VLOOKUP($F212,AF!$B$39:$M$80,G$9)*$E212</f>
        <v>0</v>
      </c>
      <c r="H212" s="1">
        <f>VLOOKUP($F212,AF!$B$39:$M$80,H$9)*$E212</f>
        <v>0</v>
      </c>
      <c r="I212" s="1">
        <f>VLOOKUP($F212,AF!$B$39:$M$80,I$9)*$E212</f>
        <v>0</v>
      </c>
      <c r="J212" s="1">
        <f>VLOOKUP($F212,AF!$B$39:$M$80,J$9)*$E212</f>
        <v>0</v>
      </c>
      <c r="K212" s="1">
        <f t="shared" si="316"/>
        <v>56672</v>
      </c>
      <c r="L212" s="72">
        <f t="shared" si="304"/>
        <v>0</v>
      </c>
      <c r="N212" s="8">
        <v>206</v>
      </c>
      <c r="O212" s="1">
        <f>VLOOKUP($N212,AF!$B$39:$M$80,O$9)*$G212</f>
        <v>0</v>
      </c>
      <c r="P212" s="1">
        <f>VLOOKUP($N212,AF!$B$39:$M$80,P$9)*$G212</f>
        <v>0</v>
      </c>
      <c r="Q212" s="1">
        <f>VLOOKUP($N212,AF!$B$39:$M$80,Q$9)*$H212</f>
        <v>0</v>
      </c>
      <c r="R212" s="1">
        <f>VLOOKUP($N212,AF!$B$39:$M$80,R$9)*$H212</f>
        <v>0</v>
      </c>
      <c r="S212" s="1">
        <f>VLOOKUP($N212,AF!$B$39:$M$80,S$9)*$I212</f>
        <v>0</v>
      </c>
      <c r="T212" s="1">
        <f>VLOOKUP($N212,AF!$B$39:$M$80,T$9)*$I212</f>
        <v>0</v>
      </c>
      <c r="U212" s="1">
        <f>VLOOKUP($N212,AF!$B$39:$M$80,U$9)*$J212</f>
        <v>0</v>
      </c>
      <c r="V212" s="1">
        <f>VLOOKUP($N212,AF!$B$39:$M$80,V$9)*$J212</f>
        <v>0</v>
      </c>
      <c r="W212" s="1">
        <f t="shared" si="305"/>
        <v>56672</v>
      </c>
      <c r="Y212" s="1">
        <f t="shared" si="306"/>
        <v>0</v>
      </c>
      <c r="Z212" s="1">
        <f t="shared" si="307"/>
        <v>0</v>
      </c>
      <c r="AA212" s="1">
        <f t="shared" si="308"/>
        <v>56672</v>
      </c>
      <c r="AB212" s="72">
        <f t="shared" si="309"/>
        <v>0</v>
      </c>
      <c r="AD212" s="72">
        <v>306</v>
      </c>
      <c r="AE212" s="1">
        <f>VLOOKUP($AD212,AF!$B$39:$M$80,AE$9)*$O212</f>
        <v>0</v>
      </c>
      <c r="AF212" s="1">
        <f>VLOOKUP($AD212,AF!$B$39:$M$80,AF$9)*$P212</f>
        <v>0</v>
      </c>
      <c r="AG212" s="1">
        <f>VLOOKUP($AD212,AF!$B$39:$M$80,AG$9)*$Q212</f>
        <v>0</v>
      </c>
      <c r="AH212" s="1">
        <f>VLOOKUP($AD212,AF!$B$39:$M$80,AH$9)*$R212</f>
        <v>0</v>
      </c>
      <c r="AI212" s="1">
        <f>VLOOKUP($AD212,AF!$B$39:$M$80,AI$9)*$S212</f>
        <v>0</v>
      </c>
      <c r="AJ212" s="1">
        <f>VLOOKUP($AD212,AF!$B$39:$M$80,AJ$9)*$T212</f>
        <v>0</v>
      </c>
      <c r="AK212" s="1">
        <f>VLOOKUP($AD212,AF!$B$39:$M$80,AK$9)*$U212</f>
        <v>0</v>
      </c>
      <c r="AL212" s="1">
        <f>VLOOKUP($AD212,AF!$B$39:$M$80,AL$9)*$V212</f>
        <v>0</v>
      </c>
      <c r="AM212" s="1">
        <f t="shared" si="310"/>
        <v>56672</v>
      </c>
      <c r="AO212" s="1">
        <f t="shared" si="311"/>
        <v>0</v>
      </c>
      <c r="AP212" s="1">
        <f t="shared" si="312"/>
        <v>0</v>
      </c>
      <c r="AQ212" s="1">
        <f t="shared" si="313"/>
        <v>56672</v>
      </c>
      <c r="AR212" s="72">
        <f t="shared" si="314"/>
        <v>0</v>
      </c>
    </row>
    <row r="213" spans="1:44" x14ac:dyDescent="0.45">
      <c r="A213" s="118">
        <f t="shared" si="315"/>
        <v>205</v>
      </c>
      <c r="B213" s="57">
        <v>930.2</v>
      </c>
      <c r="C213" s="34" t="s">
        <v>70</v>
      </c>
      <c r="D213" s="34" t="s">
        <v>68</v>
      </c>
      <c r="E213" s="25">
        <v>1843218</v>
      </c>
      <c r="F213" s="8">
        <v>101</v>
      </c>
      <c r="G213" s="1">
        <f>VLOOKUP($F213,AF!$B$39:$M$80,G$9)*$E213</f>
        <v>0</v>
      </c>
      <c r="H213" s="1">
        <f>VLOOKUP($F213,AF!$B$39:$M$80,H$9)*$E213</f>
        <v>0</v>
      </c>
      <c r="I213" s="1">
        <f>VLOOKUP($F213,AF!$B$39:$M$80,I$9)*$E213</f>
        <v>0</v>
      </c>
      <c r="J213" s="1">
        <f>VLOOKUP($F213,AF!$B$39:$M$80,J$9)*$E213</f>
        <v>0</v>
      </c>
      <c r="K213" s="1">
        <f t="shared" si="316"/>
        <v>1843218</v>
      </c>
      <c r="L213" s="72">
        <f t="shared" si="304"/>
        <v>0</v>
      </c>
      <c r="N213" s="8">
        <v>206</v>
      </c>
      <c r="O213" s="1">
        <f>VLOOKUP($N213,AF!$B$39:$M$80,O$9)*$G213</f>
        <v>0</v>
      </c>
      <c r="P213" s="1">
        <f>VLOOKUP($N213,AF!$B$39:$M$80,P$9)*$G213</f>
        <v>0</v>
      </c>
      <c r="Q213" s="1">
        <f>VLOOKUP($N213,AF!$B$39:$M$80,Q$9)*$H213</f>
        <v>0</v>
      </c>
      <c r="R213" s="1">
        <f>VLOOKUP($N213,AF!$B$39:$M$80,R$9)*$H213</f>
        <v>0</v>
      </c>
      <c r="S213" s="1">
        <f>VLOOKUP($N213,AF!$B$39:$M$80,S$9)*$I213</f>
        <v>0</v>
      </c>
      <c r="T213" s="1">
        <f>VLOOKUP($N213,AF!$B$39:$M$80,T$9)*$I213</f>
        <v>0</v>
      </c>
      <c r="U213" s="1">
        <f>VLOOKUP($N213,AF!$B$39:$M$80,U$9)*$J213</f>
        <v>0</v>
      </c>
      <c r="V213" s="1">
        <f>VLOOKUP($N213,AF!$B$39:$M$80,V$9)*$J213</f>
        <v>0</v>
      </c>
      <c r="W213" s="1">
        <f t="shared" si="305"/>
        <v>1843218</v>
      </c>
      <c r="Y213" s="1">
        <f t="shared" si="306"/>
        <v>0</v>
      </c>
      <c r="Z213" s="1">
        <f t="shared" si="307"/>
        <v>0</v>
      </c>
      <c r="AA213" s="1">
        <f t="shared" si="308"/>
        <v>1843218</v>
      </c>
      <c r="AB213" s="72">
        <f t="shared" si="309"/>
        <v>0</v>
      </c>
      <c r="AD213" s="72">
        <v>306</v>
      </c>
      <c r="AE213" s="1">
        <f>VLOOKUP($AD213,AF!$B$39:$M$80,AE$9)*$O213</f>
        <v>0</v>
      </c>
      <c r="AF213" s="1">
        <f>VLOOKUP($AD213,AF!$B$39:$M$80,AF$9)*$P213</f>
        <v>0</v>
      </c>
      <c r="AG213" s="1">
        <f>VLOOKUP($AD213,AF!$B$39:$M$80,AG$9)*$Q213</f>
        <v>0</v>
      </c>
      <c r="AH213" s="1">
        <f>VLOOKUP($AD213,AF!$B$39:$M$80,AH$9)*$R213</f>
        <v>0</v>
      </c>
      <c r="AI213" s="1">
        <f>VLOOKUP($AD213,AF!$B$39:$M$80,AI$9)*$S213</f>
        <v>0</v>
      </c>
      <c r="AJ213" s="1">
        <f>VLOOKUP($AD213,AF!$B$39:$M$80,AJ$9)*$T213</f>
        <v>0</v>
      </c>
      <c r="AK213" s="1">
        <f>VLOOKUP($AD213,AF!$B$39:$M$80,AK$9)*$U213</f>
        <v>0</v>
      </c>
      <c r="AL213" s="1">
        <f>VLOOKUP($AD213,AF!$B$39:$M$80,AL$9)*$V213</f>
        <v>0</v>
      </c>
      <c r="AM213" s="1">
        <f t="shared" si="310"/>
        <v>1843218</v>
      </c>
      <c r="AO213" s="1">
        <f t="shared" si="311"/>
        <v>0</v>
      </c>
      <c r="AP213" s="1">
        <f t="shared" si="312"/>
        <v>0</v>
      </c>
      <c r="AQ213" s="1">
        <f t="shared" si="313"/>
        <v>1843218</v>
      </c>
      <c r="AR213" s="72">
        <f t="shared" si="314"/>
        <v>0</v>
      </c>
    </row>
    <row r="214" spans="1:44" x14ac:dyDescent="0.45">
      <c r="A214" s="118">
        <f t="shared" si="315"/>
        <v>206</v>
      </c>
      <c r="B214" s="57">
        <v>931</v>
      </c>
      <c r="C214" s="34" t="s">
        <v>61</v>
      </c>
      <c r="D214" s="34" t="s">
        <v>69</v>
      </c>
      <c r="E214" s="26">
        <v>400705</v>
      </c>
      <c r="F214" s="8">
        <v>101</v>
      </c>
      <c r="G214" s="133">
        <f>VLOOKUP($F214,AF!$B$39:$M$80,G$9)*$E214</f>
        <v>0</v>
      </c>
      <c r="H214" s="133">
        <f>VLOOKUP($F214,AF!$B$39:$M$80,H$9)*$E214</f>
        <v>0</v>
      </c>
      <c r="I214" s="133">
        <f>VLOOKUP($F214,AF!$B$39:$M$80,I$9)*$E214</f>
        <v>0</v>
      </c>
      <c r="J214" s="133">
        <f>VLOOKUP($F214,AF!$B$39:$M$80,J$9)*$E214</f>
        <v>0</v>
      </c>
      <c r="K214" s="133">
        <f t="shared" si="316"/>
        <v>400705</v>
      </c>
      <c r="L214" s="72">
        <f t="shared" si="304"/>
        <v>0</v>
      </c>
      <c r="N214" s="8">
        <v>206</v>
      </c>
      <c r="O214" s="133">
        <f>VLOOKUP($N214,AF!$B$39:$M$80,O$9)*$G214</f>
        <v>0</v>
      </c>
      <c r="P214" s="133">
        <f>VLOOKUP($N214,AF!$B$39:$M$80,P$9)*$G214</f>
        <v>0</v>
      </c>
      <c r="Q214" s="133">
        <f>VLOOKUP($N214,AF!$B$39:$M$80,Q$9)*$H214</f>
        <v>0</v>
      </c>
      <c r="R214" s="133">
        <f>VLOOKUP($N214,AF!$B$39:$M$80,R$9)*$H214</f>
        <v>0</v>
      </c>
      <c r="S214" s="133">
        <f>VLOOKUP($N214,AF!$B$39:$M$80,S$9)*$I214</f>
        <v>0</v>
      </c>
      <c r="T214" s="133">
        <f>VLOOKUP($N214,AF!$B$39:$M$80,T$9)*$I214</f>
        <v>0</v>
      </c>
      <c r="U214" s="133">
        <f>VLOOKUP($N214,AF!$B$39:$M$80,U$9)*$J214</f>
        <v>0</v>
      </c>
      <c r="V214" s="133">
        <f>VLOOKUP($N214,AF!$B$39:$M$80,V$9)*$J214</f>
        <v>0</v>
      </c>
      <c r="W214" s="133">
        <f t="shared" si="305"/>
        <v>400705</v>
      </c>
      <c r="Y214" s="133">
        <f t="shared" si="306"/>
        <v>0</v>
      </c>
      <c r="Z214" s="133">
        <f t="shared" si="307"/>
        <v>0</v>
      </c>
      <c r="AA214" s="133">
        <f t="shared" si="308"/>
        <v>400705</v>
      </c>
      <c r="AB214" s="72">
        <f t="shared" si="309"/>
        <v>0</v>
      </c>
      <c r="AD214" s="72">
        <v>306</v>
      </c>
      <c r="AE214" s="133">
        <f>VLOOKUP($AD214,AF!$B$39:$M$80,AE$9)*$O214</f>
        <v>0</v>
      </c>
      <c r="AF214" s="133">
        <f>VLOOKUP($AD214,AF!$B$39:$M$80,AF$9)*$P214</f>
        <v>0</v>
      </c>
      <c r="AG214" s="133">
        <f>VLOOKUP($AD214,AF!$B$39:$M$80,AG$9)*$Q214</f>
        <v>0</v>
      </c>
      <c r="AH214" s="133">
        <f>VLOOKUP($AD214,AF!$B$39:$M$80,AH$9)*$R214</f>
        <v>0</v>
      </c>
      <c r="AI214" s="133">
        <f>VLOOKUP($AD214,AF!$B$39:$M$80,AI$9)*$S214</f>
        <v>0</v>
      </c>
      <c r="AJ214" s="133">
        <f>VLOOKUP($AD214,AF!$B$39:$M$80,AJ$9)*$T214</f>
        <v>0</v>
      </c>
      <c r="AK214" s="133">
        <f>VLOOKUP($AD214,AF!$B$39:$M$80,AK$9)*$U214</f>
        <v>0</v>
      </c>
      <c r="AL214" s="133">
        <f>VLOOKUP($AD214,AF!$B$39:$M$80,AL$9)*$V214</f>
        <v>0</v>
      </c>
      <c r="AM214" s="133">
        <f t="shared" si="310"/>
        <v>400705</v>
      </c>
      <c r="AO214" s="133">
        <f t="shared" si="311"/>
        <v>0</v>
      </c>
      <c r="AP214" s="133">
        <f t="shared" si="312"/>
        <v>0</v>
      </c>
      <c r="AQ214" s="133">
        <f t="shared" si="313"/>
        <v>400705</v>
      </c>
      <c r="AR214" s="72">
        <f t="shared" si="314"/>
        <v>0</v>
      </c>
    </row>
    <row r="215" spans="1:44" x14ac:dyDescent="0.45">
      <c r="A215" s="118">
        <f t="shared" si="315"/>
        <v>207</v>
      </c>
      <c r="B215" s="34"/>
      <c r="C215" s="34" t="s">
        <v>0</v>
      </c>
      <c r="D215" s="34"/>
      <c r="E215" s="1">
        <f>SUM(E201:E214)</f>
        <v>28555998</v>
      </c>
      <c r="F215" s="8"/>
      <c r="G215" s="1">
        <f t="shared" ref="G215:K215" si="317">SUM(G201:G214)</f>
        <v>15180.15</v>
      </c>
      <c r="H215" s="1">
        <f t="shared" si="317"/>
        <v>33587.9</v>
      </c>
      <c r="I215" s="1">
        <f t="shared" si="317"/>
        <v>136763.6</v>
      </c>
      <c r="J215" s="1">
        <f t="shared" si="317"/>
        <v>0</v>
      </c>
      <c r="K215" s="1">
        <f t="shared" si="317"/>
        <v>28370466.350000001</v>
      </c>
      <c r="L215" s="72">
        <f t="shared" si="304"/>
        <v>0</v>
      </c>
      <c r="N215" s="8"/>
      <c r="O215" s="1">
        <f t="shared" ref="O215:W215" si="318">SUM(O201:O214)</f>
        <v>7552.132869653482</v>
      </c>
      <c r="P215" s="1">
        <f t="shared" si="318"/>
        <v>7628.0171303465177</v>
      </c>
      <c r="Q215" s="1">
        <f t="shared" si="318"/>
        <v>33587.9</v>
      </c>
      <c r="R215" s="1">
        <f t="shared" si="318"/>
        <v>0</v>
      </c>
      <c r="S215" s="1">
        <f t="shared" si="318"/>
        <v>136763.6</v>
      </c>
      <c r="T215" s="1">
        <f t="shared" si="318"/>
        <v>0</v>
      </c>
      <c r="U215" s="1">
        <f t="shared" si="318"/>
        <v>0</v>
      </c>
      <c r="V215" s="1">
        <f t="shared" si="318"/>
        <v>0</v>
      </c>
      <c r="W215" s="1">
        <f t="shared" si="318"/>
        <v>28370466.350000001</v>
      </c>
      <c r="Y215" s="1">
        <f t="shared" ref="Y215:AA215" si="319">SUM(Y201:Y214)</f>
        <v>177903.63286965349</v>
      </c>
      <c r="Z215" s="1">
        <f t="shared" si="319"/>
        <v>7628.0171303465177</v>
      </c>
      <c r="AA215" s="1">
        <f t="shared" si="319"/>
        <v>28555998</v>
      </c>
      <c r="AB215" s="72">
        <f t="shared" si="309"/>
        <v>0</v>
      </c>
      <c r="AD215" s="8"/>
      <c r="AE215" s="1">
        <f t="shared" ref="AE215:AM215" ca="1" si="320">SUM(AE201:AE214)</f>
        <v>5937.0273347158472</v>
      </c>
      <c r="AF215" s="1">
        <f t="shared" ca="1" si="320"/>
        <v>2129.425253444856</v>
      </c>
      <c r="AG215" s="1">
        <f t="shared" ca="1" si="320"/>
        <v>20562.599266535795</v>
      </c>
      <c r="AH215" s="1">
        <f t="shared" ca="1" si="320"/>
        <v>0</v>
      </c>
      <c r="AI215" s="1">
        <f t="shared" ca="1" si="320"/>
        <v>42264.872460138824</v>
      </c>
      <c r="AJ215" s="1">
        <f t="shared" ca="1" si="320"/>
        <v>0</v>
      </c>
      <c r="AK215" s="1">
        <f t="shared" ca="1" si="320"/>
        <v>0</v>
      </c>
      <c r="AL215" s="1">
        <f t="shared" ca="1" si="320"/>
        <v>0</v>
      </c>
      <c r="AM215" s="1">
        <f t="shared" ca="1" si="320"/>
        <v>28485104.075685166</v>
      </c>
      <c r="AO215" s="1">
        <f t="shared" ref="AO215:AQ215" ca="1" si="321">SUM(AO201:AO214)</f>
        <v>68764.499061390467</v>
      </c>
      <c r="AP215" s="1">
        <f t="shared" ca="1" si="321"/>
        <v>2129.425253444856</v>
      </c>
      <c r="AQ215" s="1">
        <f t="shared" ca="1" si="321"/>
        <v>28555998</v>
      </c>
      <c r="AR215" s="72">
        <f t="shared" ca="1" si="314"/>
        <v>0</v>
      </c>
    </row>
    <row r="216" spans="1:44" x14ac:dyDescent="0.45">
      <c r="A216" s="118">
        <f t="shared" si="315"/>
        <v>208</v>
      </c>
      <c r="B216" s="34"/>
      <c r="C216" s="34"/>
      <c r="D216" s="34"/>
      <c r="E216" s="1"/>
      <c r="F216" s="76"/>
      <c r="G216" s="63"/>
      <c r="H216" s="63"/>
      <c r="I216" s="63"/>
      <c r="J216" s="63"/>
      <c r="K216" s="63"/>
      <c r="L216" s="76"/>
      <c r="N216" s="76"/>
      <c r="O216" s="63"/>
      <c r="P216" s="63"/>
      <c r="Q216" s="63"/>
      <c r="R216" s="63"/>
      <c r="S216" s="63"/>
      <c r="T216" s="63"/>
      <c r="U216" s="63"/>
      <c r="V216" s="63"/>
      <c r="W216" s="63"/>
      <c r="Y216" s="63"/>
      <c r="Z216" s="63"/>
      <c r="AA216" s="63"/>
      <c r="AB216" s="76"/>
      <c r="AD216" s="76"/>
      <c r="AE216" s="63"/>
      <c r="AF216" s="63"/>
      <c r="AG216" s="63"/>
      <c r="AH216" s="63"/>
      <c r="AI216" s="63"/>
      <c r="AJ216" s="63"/>
      <c r="AK216" s="63"/>
      <c r="AL216" s="63"/>
      <c r="AM216" s="63"/>
      <c r="AO216" s="63"/>
      <c r="AP216" s="63"/>
      <c r="AQ216" s="63"/>
      <c r="AR216" s="76"/>
    </row>
    <row r="217" spans="1:44" x14ac:dyDescent="0.45">
      <c r="A217" s="118">
        <f t="shared" si="315"/>
        <v>209</v>
      </c>
      <c r="B217" s="35" t="s">
        <v>410</v>
      </c>
      <c r="C217" s="35"/>
      <c r="D217" s="34"/>
      <c r="E217" s="34"/>
      <c r="F217" s="74"/>
      <c r="G217" s="88"/>
      <c r="H217" s="88"/>
      <c r="I217" s="88"/>
      <c r="J217" s="88"/>
      <c r="K217" s="88"/>
      <c r="L217" s="74"/>
      <c r="N217" s="74"/>
      <c r="O217" s="88"/>
      <c r="P217" s="88"/>
      <c r="Q217" s="88"/>
      <c r="R217" s="88"/>
      <c r="S217" s="88"/>
      <c r="T217" s="88"/>
      <c r="U217" s="88"/>
      <c r="V217" s="88"/>
      <c r="W217" s="88"/>
      <c r="Y217" s="88"/>
      <c r="Z217" s="88"/>
      <c r="AA217" s="88"/>
      <c r="AB217" s="74"/>
      <c r="AD217" s="74"/>
      <c r="AE217" s="88"/>
      <c r="AF217" s="88"/>
      <c r="AG217" s="88"/>
      <c r="AH217" s="88"/>
      <c r="AI217" s="88"/>
      <c r="AJ217" s="88"/>
      <c r="AK217" s="88"/>
      <c r="AL217" s="88"/>
      <c r="AM217" s="88"/>
      <c r="AO217" s="88"/>
      <c r="AP217" s="88"/>
      <c r="AQ217" s="88"/>
      <c r="AR217" s="74"/>
    </row>
    <row r="218" spans="1:44" x14ac:dyDescent="0.45">
      <c r="A218" s="118">
        <f t="shared" si="315"/>
        <v>210</v>
      </c>
      <c r="B218" s="34">
        <v>935</v>
      </c>
      <c r="C218" s="34" t="s">
        <v>363</v>
      </c>
      <c r="D218" s="34" t="s">
        <v>364</v>
      </c>
      <c r="E218" s="25">
        <v>18923</v>
      </c>
      <c r="F218" s="8">
        <v>101</v>
      </c>
      <c r="G218" s="1">
        <f>VLOOKUP($F218,AF!$B$39:$M$80,G$9)*$E218</f>
        <v>0</v>
      </c>
      <c r="H218" s="1">
        <f>VLOOKUP($F218,AF!$B$39:$M$80,H$9)*$E218</f>
        <v>0</v>
      </c>
      <c r="I218" s="1">
        <f>VLOOKUP($F218,AF!$B$39:$M$80,I$9)*$E218</f>
        <v>0</v>
      </c>
      <c r="J218" s="1">
        <f>VLOOKUP($F218,AF!$B$39:$M$80,J$9)*$E218</f>
        <v>0</v>
      </c>
      <c r="K218" s="133">
        <f t="shared" ref="K218" si="322">E218-SUM(G218:J218)</f>
        <v>18923</v>
      </c>
      <c r="L218" s="72">
        <f>$E218-SUM(G218:K218)</f>
        <v>0</v>
      </c>
      <c r="N218" s="8">
        <v>206</v>
      </c>
      <c r="O218" s="1">
        <f>VLOOKUP($N218,AF!$B$39:$M$80,O$9)*$G218</f>
        <v>0</v>
      </c>
      <c r="P218" s="1">
        <f>VLOOKUP($N218,AF!$B$39:$M$80,P$9)*$G218</f>
        <v>0</v>
      </c>
      <c r="Q218" s="1">
        <f>VLOOKUP($N218,AF!$B$39:$M$80,Q$9)*$H218</f>
        <v>0</v>
      </c>
      <c r="R218" s="1">
        <f>VLOOKUP($N218,AF!$B$39:$M$80,R$9)*$H218</f>
        <v>0</v>
      </c>
      <c r="S218" s="1">
        <f>VLOOKUP($N218,AF!$B$39:$M$80,S$9)*$I218</f>
        <v>0</v>
      </c>
      <c r="T218" s="1">
        <f>VLOOKUP($N218,AF!$B$39:$M$80,T$9)*$I218</f>
        <v>0</v>
      </c>
      <c r="U218" s="1">
        <f>VLOOKUP($N218,AF!$B$39:$M$80,U$9)*$J218</f>
        <v>0</v>
      </c>
      <c r="V218" s="1">
        <f>VLOOKUP($N218,AF!$B$39:$M$80,V$9)*$J218</f>
        <v>0</v>
      </c>
      <c r="W218" s="1">
        <f t="shared" ref="W218" si="323">E218-SUM(O218:V218)</f>
        <v>18923</v>
      </c>
      <c r="Y218" s="1">
        <f>+O218+Q218+S218+U218</f>
        <v>0</v>
      </c>
      <c r="Z218" s="1">
        <f>+P218+R218+T218+V218</f>
        <v>0</v>
      </c>
      <c r="AA218" s="1">
        <f>+Z218+Y218+W218</f>
        <v>18923</v>
      </c>
      <c r="AB218" s="72">
        <f t="shared" ref="AB218" si="324">$E218-AA218</f>
        <v>0</v>
      </c>
      <c r="AD218" s="72">
        <v>306</v>
      </c>
      <c r="AE218" s="1">
        <f>VLOOKUP($AD218,AF!$B$39:$M$80,AE$9)*$O218</f>
        <v>0</v>
      </c>
      <c r="AF218" s="1">
        <f>VLOOKUP($AD218,AF!$B$39:$M$80,AF$9)*$P218</f>
        <v>0</v>
      </c>
      <c r="AG218" s="1">
        <f>VLOOKUP($AD218,AF!$B$39:$M$80,AG$9)*$Q218</f>
        <v>0</v>
      </c>
      <c r="AH218" s="1">
        <f>VLOOKUP($AD218,AF!$B$39:$M$80,AH$9)*$R218</f>
        <v>0</v>
      </c>
      <c r="AI218" s="1">
        <f>VLOOKUP($AD218,AF!$B$39:$M$80,AI$9)*$S218</f>
        <v>0</v>
      </c>
      <c r="AJ218" s="1">
        <f>VLOOKUP($AD218,AF!$B$39:$M$80,AJ$9)*$T218</f>
        <v>0</v>
      </c>
      <c r="AK218" s="1">
        <f>VLOOKUP($AD218,AF!$B$39:$M$80,AK$9)*$U218</f>
        <v>0</v>
      </c>
      <c r="AL218" s="1">
        <f>VLOOKUP($AD218,AF!$B$39:$M$80,AL$9)*$V218</f>
        <v>0</v>
      </c>
      <c r="AM218" s="1">
        <f>E218-SUM(AE218:AL218)</f>
        <v>18923</v>
      </c>
      <c r="AO218" s="1">
        <f>+AE218+AG218+AI218+AK218</f>
        <v>0</v>
      </c>
      <c r="AP218" s="1">
        <f>+AF218+AH218+AJ218+AL218</f>
        <v>0</v>
      </c>
      <c r="AQ218" s="1">
        <f t="shared" ref="AQ218" si="325">+AP218+AO218+AM218</f>
        <v>18923</v>
      </c>
      <c r="AR218" s="72">
        <f>$E218-AQ218</f>
        <v>0</v>
      </c>
    </row>
    <row r="219" spans="1:44" x14ac:dyDescent="0.45">
      <c r="A219" s="118">
        <f t="shared" si="315"/>
        <v>211</v>
      </c>
      <c r="B219" s="34"/>
      <c r="C219" s="34" t="s">
        <v>0</v>
      </c>
      <c r="D219" s="34"/>
      <c r="E219" s="33">
        <f>SUM(E218)</f>
        <v>18923</v>
      </c>
      <c r="F219" s="8"/>
      <c r="G219" s="33">
        <f t="shared" ref="G219:I219" si="326">SUM(G218)</f>
        <v>0</v>
      </c>
      <c r="H219" s="33">
        <f t="shared" si="326"/>
        <v>0</v>
      </c>
      <c r="I219" s="33">
        <f t="shared" si="326"/>
        <v>0</v>
      </c>
      <c r="J219" s="33">
        <f t="shared" ref="J219:K219" si="327">SUM(J218)</f>
        <v>0</v>
      </c>
      <c r="K219" s="33">
        <f t="shared" si="327"/>
        <v>18923</v>
      </c>
      <c r="L219" s="8"/>
      <c r="N219" s="8"/>
      <c r="O219" s="33">
        <f t="shared" ref="O219" si="328">SUM(O218)</f>
        <v>0</v>
      </c>
      <c r="P219" s="33">
        <f t="shared" ref="P219:W219" si="329">SUM(P218)</f>
        <v>0</v>
      </c>
      <c r="Q219" s="33">
        <f t="shared" si="329"/>
        <v>0</v>
      </c>
      <c r="R219" s="33">
        <f t="shared" ref="R219" si="330">SUM(R218)</f>
        <v>0</v>
      </c>
      <c r="S219" s="33">
        <f t="shared" si="329"/>
        <v>0</v>
      </c>
      <c r="T219" s="33">
        <f t="shared" ref="T219" si="331">SUM(T218)</f>
        <v>0</v>
      </c>
      <c r="U219" s="33">
        <f t="shared" si="329"/>
        <v>0</v>
      </c>
      <c r="V219" s="33">
        <f t="shared" ref="V219" si="332">SUM(V218)</f>
        <v>0</v>
      </c>
      <c r="W219" s="33">
        <f t="shared" si="329"/>
        <v>18923</v>
      </c>
      <c r="Y219" s="33">
        <f t="shared" ref="Y219:AA219" si="333">SUM(Y218)</f>
        <v>0</v>
      </c>
      <c r="Z219" s="33">
        <f t="shared" si="333"/>
        <v>0</v>
      </c>
      <c r="AA219" s="33">
        <f t="shared" si="333"/>
        <v>18923</v>
      </c>
      <c r="AB219" s="8"/>
      <c r="AD219" s="8"/>
      <c r="AE219" s="33">
        <f t="shared" ref="AE219:AM219" si="334">SUM(AE218)</f>
        <v>0</v>
      </c>
      <c r="AF219" s="33">
        <f t="shared" si="334"/>
        <v>0</v>
      </c>
      <c r="AG219" s="33">
        <f t="shared" si="334"/>
        <v>0</v>
      </c>
      <c r="AH219" s="33">
        <f t="shared" si="334"/>
        <v>0</v>
      </c>
      <c r="AI219" s="33">
        <f t="shared" si="334"/>
        <v>0</v>
      </c>
      <c r="AJ219" s="33">
        <f t="shared" si="334"/>
        <v>0</v>
      </c>
      <c r="AK219" s="33">
        <f t="shared" si="334"/>
        <v>0</v>
      </c>
      <c r="AL219" s="33">
        <f t="shared" si="334"/>
        <v>0</v>
      </c>
      <c r="AM219" s="33">
        <f t="shared" si="334"/>
        <v>18923</v>
      </c>
      <c r="AO219" s="33">
        <f t="shared" ref="AO219:AQ219" si="335">SUM(AO218)</f>
        <v>0</v>
      </c>
      <c r="AP219" s="33">
        <f t="shared" si="335"/>
        <v>0</v>
      </c>
      <c r="AQ219" s="33">
        <f t="shared" si="335"/>
        <v>18923</v>
      </c>
      <c r="AR219" s="8"/>
    </row>
    <row r="220" spans="1:44" x14ac:dyDescent="0.45">
      <c r="A220" s="118">
        <f t="shared" si="315"/>
        <v>212</v>
      </c>
      <c r="B220" s="34"/>
      <c r="C220" s="34"/>
      <c r="D220" s="34"/>
      <c r="E220" s="31"/>
      <c r="F220" s="74"/>
      <c r="G220" s="88"/>
      <c r="H220" s="88"/>
      <c r="I220" s="88"/>
      <c r="J220" s="88"/>
      <c r="K220" s="88"/>
      <c r="L220" s="74"/>
      <c r="N220" s="74"/>
      <c r="O220" s="88"/>
      <c r="P220" s="88"/>
      <c r="Q220" s="88"/>
      <c r="R220" s="88"/>
      <c r="S220" s="88"/>
      <c r="T220" s="88"/>
      <c r="U220" s="88"/>
      <c r="V220" s="88"/>
      <c r="W220" s="88"/>
      <c r="Y220" s="88"/>
      <c r="Z220" s="88"/>
      <c r="AA220" s="88"/>
      <c r="AB220" s="74"/>
      <c r="AD220" s="74"/>
      <c r="AE220" s="88"/>
      <c r="AF220" s="88"/>
      <c r="AG220" s="88"/>
      <c r="AH220" s="88"/>
      <c r="AI220" s="88"/>
      <c r="AJ220" s="88"/>
      <c r="AK220" s="88"/>
      <c r="AL220" s="88"/>
      <c r="AM220" s="88"/>
      <c r="AO220" s="88"/>
      <c r="AP220" s="88"/>
      <c r="AQ220" s="88"/>
      <c r="AR220" s="74"/>
    </row>
    <row r="221" spans="1:44" x14ac:dyDescent="0.45">
      <c r="A221" s="118">
        <f t="shared" si="315"/>
        <v>213</v>
      </c>
      <c r="B221" s="34" t="s">
        <v>715</v>
      </c>
      <c r="C221" s="34"/>
      <c r="D221" s="34"/>
      <c r="E221" s="31">
        <f>E215+E219</f>
        <v>28574921</v>
      </c>
      <c r="F221" s="74"/>
      <c r="G221" s="31">
        <f t="shared" ref="G221:K221" si="336">G215+G219</f>
        <v>15180.15</v>
      </c>
      <c r="H221" s="31">
        <f t="shared" si="336"/>
        <v>33587.9</v>
      </c>
      <c r="I221" s="31">
        <f t="shared" si="336"/>
        <v>136763.6</v>
      </c>
      <c r="J221" s="31">
        <f t="shared" si="336"/>
        <v>0</v>
      </c>
      <c r="K221" s="31">
        <f t="shared" si="336"/>
        <v>28389389.350000001</v>
      </c>
      <c r="L221" s="72">
        <f>$E221-SUM(G221:K221)</f>
        <v>0</v>
      </c>
      <c r="N221" s="74"/>
      <c r="O221" s="31">
        <f t="shared" ref="O221" si="337">O215+O219</f>
        <v>7552.132869653482</v>
      </c>
      <c r="P221" s="31">
        <f t="shared" ref="P221:W221" si="338">P215+P219</f>
        <v>7628.0171303465177</v>
      </c>
      <c r="Q221" s="31">
        <f t="shared" si="338"/>
        <v>33587.9</v>
      </c>
      <c r="R221" s="31">
        <f t="shared" ref="R221" si="339">R215+R219</f>
        <v>0</v>
      </c>
      <c r="S221" s="31">
        <f t="shared" si="338"/>
        <v>136763.6</v>
      </c>
      <c r="T221" s="31">
        <f t="shared" ref="T221" si="340">T215+T219</f>
        <v>0</v>
      </c>
      <c r="U221" s="31">
        <f t="shared" si="338"/>
        <v>0</v>
      </c>
      <c r="V221" s="31">
        <f t="shared" ref="V221" si="341">V215+V219</f>
        <v>0</v>
      </c>
      <c r="W221" s="31">
        <f t="shared" si="338"/>
        <v>28389389.350000001</v>
      </c>
      <c r="Y221" s="31">
        <f t="shared" ref="Y221:AA221" si="342">Y215+Y219</f>
        <v>177903.63286965349</v>
      </c>
      <c r="Z221" s="31">
        <f t="shared" si="342"/>
        <v>7628.0171303465177</v>
      </c>
      <c r="AA221" s="31">
        <f t="shared" si="342"/>
        <v>28574921</v>
      </c>
      <c r="AB221" s="72">
        <f t="shared" ref="AB221" si="343">$E221-AA221</f>
        <v>0</v>
      </c>
      <c r="AD221" s="74"/>
      <c r="AE221" s="31">
        <f t="shared" ref="AE221:AM221" ca="1" si="344">AE215+AE219</f>
        <v>5937.0273347158472</v>
      </c>
      <c r="AF221" s="31">
        <f t="shared" ca="1" si="344"/>
        <v>2129.425253444856</v>
      </c>
      <c r="AG221" s="31">
        <f t="shared" ca="1" si="344"/>
        <v>20562.599266535795</v>
      </c>
      <c r="AH221" s="31">
        <f t="shared" ca="1" si="344"/>
        <v>0</v>
      </c>
      <c r="AI221" s="31">
        <f t="shared" ca="1" si="344"/>
        <v>42264.872460138824</v>
      </c>
      <c r="AJ221" s="31">
        <f t="shared" ca="1" si="344"/>
        <v>0</v>
      </c>
      <c r="AK221" s="31">
        <f t="shared" ca="1" si="344"/>
        <v>0</v>
      </c>
      <c r="AL221" s="31">
        <f t="shared" ca="1" si="344"/>
        <v>0</v>
      </c>
      <c r="AM221" s="31">
        <f t="shared" ca="1" si="344"/>
        <v>28504027.075685166</v>
      </c>
      <c r="AO221" s="31">
        <f t="shared" ref="AO221:AQ221" ca="1" si="345">AO215+AO219</f>
        <v>68764.499061390467</v>
      </c>
      <c r="AP221" s="31">
        <f t="shared" ca="1" si="345"/>
        <v>2129.425253444856</v>
      </c>
      <c r="AQ221" s="31">
        <f t="shared" ca="1" si="345"/>
        <v>28574921</v>
      </c>
      <c r="AR221" s="72">
        <f t="shared" ref="AR221" ca="1" si="346">$E221-AQ221</f>
        <v>0</v>
      </c>
    </row>
    <row r="222" spans="1:44" x14ac:dyDescent="0.45">
      <c r="A222" s="118">
        <f t="shared" si="315"/>
        <v>214</v>
      </c>
      <c r="B222" s="34"/>
      <c r="C222" s="34"/>
      <c r="D222" s="34"/>
      <c r="E222" s="31"/>
      <c r="F222" s="74"/>
      <c r="G222" s="88"/>
      <c r="H222" s="88"/>
      <c r="I222" s="88"/>
      <c r="J222" s="88"/>
      <c r="K222" s="88"/>
      <c r="L222" s="74"/>
      <c r="N222" s="74"/>
      <c r="O222" s="88"/>
      <c r="P222" s="88"/>
      <c r="Q222" s="88"/>
      <c r="R222" s="88"/>
      <c r="S222" s="88"/>
      <c r="T222" s="88"/>
      <c r="U222" s="88"/>
      <c r="V222" s="88"/>
      <c r="W222" s="88"/>
      <c r="Y222" s="88"/>
      <c r="Z222" s="88"/>
      <c r="AA222" s="88"/>
      <c r="AB222" s="74"/>
      <c r="AD222" s="74"/>
      <c r="AE222" s="88"/>
      <c r="AF222" s="88"/>
      <c r="AG222" s="88"/>
      <c r="AH222" s="88"/>
      <c r="AI222" s="88"/>
      <c r="AJ222" s="88"/>
      <c r="AK222" s="88"/>
      <c r="AL222" s="88"/>
      <c r="AM222" s="88"/>
      <c r="AO222" s="88"/>
      <c r="AP222" s="88"/>
      <c r="AQ222" s="88"/>
      <c r="AR222" s="74"/>
    </row>
    <row r="223" spans="1:44" x14ac:dyDescent="0.45">
      <c r="A223" s="118">
        <f t="shared" si="315"/>
        <v>215</v>
      </c>
      <c r="B223" s="34"/>
      <c r="C223" s="34" t="s">
        <v>716</v>
      </c>
      <c r="D223" s="34" t="s">
        <v>242</v>
      </c>
      <c r="E223" s="28">
        <v>6729415.7943541138</v>
      </c>
      <c r="F223" s="8">
        <v>102</v>
      </c>
      <c r="G223" s="31">
        <f>VLOOKUP($F223,AF!$B$39:$M$80,G$9)*$E223</f>
        <v>115691.96208058648</v>
      </c>
      <c r="H223" s="31">
        <f>VLOOKUP($F223,AF!$B$39:$M$80,H$9)*$E223</f>
        <v>96409.968400488739</v>
      </c>
      <c r="I223" s="31">
        <f>VLOOKUP($F223,AF!$B$39:$M$80,I$9)*$E223</f>
        <v>327793.89256166172</v>
      </c>
      <c r="J223" s="31">
        <f>VLOOKUP($F223,AF!$B$39:$M$80,J$9)*$E223</f>
        <v>0</v>
      </c>
      <c r="K223" s="1">
        <f t="shared" ref="K223:K224" si="347">E223-SUM(G223:J223)</f>
        <v>6189519.9713113764</v>
      </c>
      <c r="L223" s="72">
        <f>$E223-SUM(G223:K223)</f>
        <v>0</v>
      </c>
      <c r="N223" s="8">
        <v>204</v>
      </c>
      <c r="O223" s="1">
        <f>VLOOKUP($N223,AF!$B$39:$M$80,O$9)*$G223</f>
        <v>19281.993680097745</v>
      </c>
      <c r="P223" s="1">
        <f>VLOOKUP($N223,AF!$B$39:$M$80,P$9)*$G223</f>
        <v>96409.968400488739</v>
      </c>
      <c r="Q223" s="1">
        <f>VLOOKUP($N223,AF!$B$39:$M$80,Q$9)*$H223</f>
        <v>96409.968400488739</v>
      </c>
      <c r="R223" s="1">
        <f>VLOOKUP($N223,AF!$B$39:$M$80,R$9)*$H223</f>
        <v>0</v>
      </c>
      <c r="S223" s="1">
        <f>VLOOKUP($N223,AF!$B$39:$M$80,S$9)*$I223</f>
        <v>327793.89256166172</v>
      </c>
      <c r="T223" s="1">
        <f>VLOOKUP($N223,AF!$B$39:$M$80,T$9)*$I223</f>
        <v>0</v>
      </c>
      <c r="U223" s="1">
        <f>VLOOKUP($N223,AF!$B$39:$M$80,U$9)*$J223</f>
        <v>0</v>
      </c>
      <c r="V223" s="1">
        <f>VLOOKUP($N223,AF!$B$39:$M$80,V$9)*$J223</f>
        <v>0</v>
      </c>
      <c r="W223" s="1">
        <f t="shared" ref="W223:W224" si="348">E223-SUM(O223:V223)</f>
        <v>6189519.9713113764</v>
      </c>
      <c r="Y223" s="1">
        <f>+O223+Q223+S223+U223</f>
        <v>443485.85464224819</v>
      </c>
      <c r="Z223" s="1">
        <f>+P223+R223+T223+V223</f>
        <v>96409.968400488739</v>
      </c>
      <c r="AA223" s="1">
        <f t="shared" ref="AA223:AA224" si="349">+Z223+Y223+W223</f>
        <v>6729415.7943541138</v>
      </c>
      <c r="AB223" s="72">
        <f t="shared" ref="AB223:AB224" si="350">$E223-AA223</f>
        <v>0</v>
      </c>
      <c r="AD223" s="72">
        <v>306</v>
      </c>
      <c r="AE223" s="1">
        <f>VLOOKUP($AD223,AF!$B$39:$M$80,AE$9)*$O223</f>
        <v>15168.494905833148</v>
      </c>
      <c r="AF223" s="1">
        <f>VLOOKUP($AD223,AF!$B$39:$M$80,AF$9)*$P223</f>
        <v>28072.111720657627</v>
      </c>
      <c r="AG223" s="1">
        <f>VLOOKUP($AD223,AF!$B$39:$M$80,AG$9)*$Q223</f>
        <v>59147.897424978051</v>
      </c>
      <c r="AH223" s="1">
        <f>VLOOKUP($AD223,AF!$B$39:$M$80,AH$9)*$R223</f>
        <v>0</v>
      </c>
      <c r="AI223" s="1">
        <f>VLOOKUP($AD223,AF!$B$39:$M$80,AI$9)*$S223</f>
        <v>102413.81751489104</v>
      </c>
      <c r="AJ223" s="1">
        <f>VLOOKUP($AD223,AF!$B$39:$M$80,AJ$9)*$T223</f>
        <v>0</v>
      </c>
      <c r="AK223" s="1">
        <f>VLOOKUP($AD223,AF!$B$39:$M$80,AK$9)*$U223</f>
        <v>0</v>
      </c>
      <c r="AL223" s="1">
        <f>VLOOKUP($AD223,AF!$B$39:$M$80,AL$9)*$V223</f>
        <v>0</v>
      </c>
      <c r="AM223" s="1">
        <f t="shared" ref="AM223:AM224" si="351">E223-SUM(AE223:AL223)</f>
        <v>6524613.4727877537</v>
      </c>
      <c r="AO223" s="1">
        <f>+AE223+AG223+AI223+AK223</f>
        <v>176730.20984570222</v>
      </c>
      <c r="AP223" s="1">
        <f>+AF223+AH223+AJ223+AL223</f>
        <v>28072.111720657627</v>
      </c>
      <c r="AQ223" s="1">
        <f t="shared" ref="AQ223:AQ224" si="352">+AP223+AO223+AM223</f>
        <v>6729415.7943541138</v>
      </c>
      <c r="AR223" s="72">
        <f>$E223-AQ223</f>
        <v>0</v>
      </c>
    </row>
    <row r="224" spans="1:44" x14ac:dyDescent="0.45">
      <c r="A224" s="118">
        <f t="shared" si="315"/>
        <v>216</v>
      </c>
      <c r="B224" s="34"/>
      <c r="C224" s="34" t="s">
        <v>717</v>
      </c>
      <c r="D224" s="34"/>
      <c r="E224" s="31">
        <f>E215+E219-E223-E206</f>
        <v>21573645.255645886</v>
      </c>
      <c r="F224" s="8">
        <v>101</v>
      </c>
      <c r="G224" s="1">
        <f>VLOOKUP($F224,AF!$B$39:$M$80,G$9)*$E224</f>
        <v>0</v>
      </c>
      <c r="H224" s="1">
        <f>VLOOKUP($F224,AF!$B$39:$M$80,H$9)*$E224</f>
        <v>0</v>
      </c>
      <c r="I224" s="1">
        <f>VLOOKUP($F224,AF!$B$39:$M$80,I$9)*$E224</f>
        <v>0</v>
      </c>
      <c r="J224" s="1">
        <f>VLOOKUP($F224,AF!$B$39:$M$80,J$9)*$E224</f>
        <v>0</v>
      </c>
      <c r="K224" s="1">
        <f t="shared" si="347"/>
        <v>21573645.255645886</v>
      </c>
      <c r="L224" s="72">
        <f>$E224-SUM(G224:K224)</f>
        <v>0</v>
      </c>
      <c r="N224" s="8">
        <v>206</v>
      </c>
      <c r="O224" s="1">
        <f>VLOOKUP($N224,AF!$B$39:$M$80,O$9)*$G224</f>
        <v>0</v>
      </c>
      <c r="P224" s="1">
        <f>VLOOKUP($N224,AF!$B$39:$M$80,P$9)*$G224</f>
        <v>0</v>
      </c>
      <c r="Q224" s="1">
        <f>VLOOKUP($N224,AF!$B$39:$M$80,Q$9)*$H224</f>
        <v>0</v>
      </c>
      <c r="R224" s="1">
        <f>VLOOKUP($N224,AF!$B$39:$M$80,R$9)*$H224</f>
        <v>0</v>
      </c>
      <c r="S224" s="1">
        <f>VLOOKUP($N224,AF!$B$39:$M$80,S$9)*$I224</f>
        <v>0</v>
      </c>
      <c r="T224" s="1">
        <f>VLOOKUP($N224,AF!$B$39:$M$80,T$9)*$I224</f>
        <v>0</v>
      </c>
      <c r="U224" s="1">
        <f>VLOOKUP($N224,AF!$B$39:$M$80,U$9)*$J224</f>
        <v>0</v>
      </c>
      <c r="V224" s="1">
        <f>VLOOKUP($N224,AF!$B$39:$M$80,V$9)*$J224</f>
        <v>0</v>
      </c>
      <c r="W224" s="1">
        <f t="shared" si="348"/>
        <v>21573645.255645886</v>
      </c>
      <c r="Y224" s="1">
        <f>+O224+Q224+S224+U224</f>
        <v>0</v>
      </c>
      <c r="Z224" s="1">
        <f>+P224+R224+T224+V224</f>
        <v>0</v>
      </c>
      <c r="AA224" s="1">
        <f t="shared" si="349"/>
        <v>21573645.255645886</v>
      </c>
      <c r="AB224" s="72">
        <f t="shared" si="350"/>
        <v>0</v>
      </c>
      <c r="AD224" s="72">
        <v>306</v>
      </c>
      <c r="AE224" s="1">
        <f>VLOOKUP($AD224,AF!$B$39:$M$80,AE$9)*$O224</f>
        <v>0</v>
      </c>
      <c r="AF224" s="1">
        <f>VLOOKUP($AD224,AF!$B$39:$M$80,AF$9)*$P224</f>
        <v>0</v>
      </c>
      <c r="AG224" s="1">
        <f>VLOOKUP($AD224,AF!$B$39:$M$80,AG$9)*$Q224</f>
        <v>0</v>
      </c>
      <c r="AH224" s="1">
        <f>VLOOKUP($AD224,AF!$B$39:$M$80,AH$9)*$R224</f>
        <v>0</v>
      </c>
      <c r="AI224" s="1">
        <f>VLOOKUP($AD224,AF!$B$39:$M$80,AI$9)*$S224</f>
        <v>0</v>
      </c>
      <c r="AJ224" s="1">
        <f>VLOOKUP($AD224,AF!$B$39:$M$80,AJ$9)*$T224</f>
        <v>0</v>
      </c>
      <c r="AK224" s="1">
        <f>VLOOKUP($AD224,AF!$B$39:$M$80,AK$9)*$U224</f>
        <v>0</v>
      </c>
      <c r="AL224" s="1">
        <f>VLOOKUP($AD224,AF!$B$39:$M$80,AL$9)*$V224</f>
        <v>0</v>
      </c>
      <c r="AM224" s="1">
        <f t="shared" si="351"/>
        <v>21573645.255645886</v>
      </c>
      <c r="AO224" s="1">
        <f>+AE224+AG224+AI224+AK224</f>
        <v>0</v>
      </c>
      <c r="AP224" s="1">
        <f>+AF224+AH224+AJ224+AL224</f>
        <v>0</v>
      </c>
      <c r="AQ224" s="1">
        <f t="shared" si="352"/>
        <v>21573645.255645886</v>
      </c>
      <c r="AR224" s="72">
        <f>$E224-AQ224</f>
        <v>0</v>
      </c>
    </row>
    <row r="225" spans="1:44" x14ac:dyDescent="0.45">
      <c r="A225" s="118">
        <f>+A224+1</f>
        <v>217</v>
      </c>
      <c r="B225" s="34"/>
      <c r="C225" s="34"/>
      <c r="D225" s="34"/>
      <c r="E225" s="1"/>
      <c r="F225" s="76"/>
      <c r="G225" s="63"/>
      <c r="H225" s="63"/>
      <c r="I225" s="63"/>
      <c r="J225" s="63"/>
      <c r="K225" s="63"/>
      <c r="L225" s="76"/>
      <c r="N225" s="76"/>
      <c r="O225" s="63"/>
      <c r="P225" s="63"/>
      <c r="Q225" s="63"/>
      <c r="R225" s="63"/>
      <c r="S225" s="63"/>
      <c r="T225" s="63"/>
      <c r="U225" s="63"/>
      <c r="V225" s="63"/>
      <c r="W225" s="63"/>
      <c r="Y225" s="63"/>
      <c r="Z225" s="63"/>
      <c r="AA225" s="63"/>
      <c r="AB225" s="76"/>
      <c r="AD225" s="76"/>
      <c r="AE225" s="63"/>
      <c r="AF225" s="63"/>
      <c r="AG225" s="63"/>
      <c r="AH225" s="63"/>
      <c r="AI225" s="63"/>
      <c r="AJ225" s="63"/>
      <c r="AK225" s="63"/>
      <c r="AL225" s="63"/>
      <c r="AM225" s="63"/>
      <c r="AO225" s="63"/>
      <c r="AP225" s="63"/>
      <c r="AQ225" s="63"/>
      <c r="AR225" s="76"/>
    </row>
    <row r="226" spans="1:44" ht="14.65" thickBot="1" x14ac:dyDescent="0.5">
      <c r="A226" s="118">
        <f t="shared" si="315"/>
        <v>218</v>
      </c>
      <c r="B226" s="34" t="s">
        <v>412</v>
      </c>
      <c r="C226" s="34"/>
      <c r="D226" s="34"/>
      <c r="E226" s="62">
        <f>+E223+E224+E206</f>
        <v>28574921</v>
      </c>
      <c r="F226" s="76"/>
      <c r="G226" s="62">
        <f t="shared" ref="G226:K226" si="353">+G223+G224+G206</f>
        <v>130872.11208058648</v>
      </c>
      <c r="H226" s="62">
        <f t="shared" si="353"/>
        <v>129997.86840048875</v>
      </c>
      <c r="I226" s="62">
        <f t="shared" si="353"/>
        <v>464557.49256166175</v>
      </c>
      <c r="J226" s="62">
        <f t="shared" si="353"/>
        <v>0</v>
      </c>
      <c r="K226" s="62">
        <f t="shared" si="353"/>
        <v>27849493.526957262</v>
      </c>
      <c r="L226" s="72">
        <f>$E226-SUM(G226:K226)</f>
        <v>0</v>
      </c>
      <c r="N226" s="76"/>
      <c r="O226" s="62">
        <f t="shared" ref="O226:W226" si="354">+O223+O224+O206</f>
        <v>26834.126549751229</v>
      </c>
      <c r="P226" s="62">
        <f t="shared" si="354"/>
        <v>104037.98553083526</v>
      </c>
      <c r="Q226" s="62">
        <f t="shared" si="354"/>
        <v>129997.86840048875</v>
      </c>
      <c r="R226" s="62">
        <f t="shared" si="354"/>
        <v>0</v>
      </c>
      <c r="S226" s="62">
        <f t="shared" si="354"/>
        <v>464557.49256166175</v>
      </c>
      <c r="T226" s="62">
        <f t="shared" si="354"/>
        <v>0</v>
      </c>
      <c r="U226" s="62">
        <f t="shared" si="354"/>
        <v>0</v>
      </c>
      <c r="V226" s="62">
        <f t="shared" si="354"/>
        <v>0</v>
      </c>
      <c r="W226" s="62">
        <f t="shared" si="354"/>
        <v>27849493.526957262</v>
      </c>
      <c r="Y226" s="62">
        <f t="shared" ref="Y226:AA226" si="355">+Y223+Y224+Y206</f>
        <v>621389.48751190165</v>
      </c>
      <c r="Z226" s="62">
        <f t="shared" si="355"/>
        <v>104037.98553083526</v>
      </c>
      <c r="AA226" s="62">
        <f t="shared" si="355"/>
        <v>28574921</v>
      </c>
      <c r="AB226" s="72">
        <f t="shared" ref="AB226" si="356">$E226-AA226</f>
        <v>0</v>
      </c>
      <c r="AD226" s="76"/>
      <c r="AE226" s="62">
        <f t="shared" ref="AE226:AM226" ca="1" si="357">+AE223+AE224+AE206</f>
        <v>21105.522240548995</v>
      </c>
      <c r="AF226" s="62">
        <f t="shared" ca="1" si="357"/>
        <v>30201.536974102484</v>
      </c>
      <c r="AG226" s="62">
        <f t="shared" ca="1" si="357"/>
        <v>79710.49669151385</v>
      </c>
      <c r="AH226" s="62">
        <f t="shared" ca="1" si="357"/>
        <v>0</v>
      </c>
      <c r="AI226" s="62">
        <f t="shared" ca="1" si="357"/>
        <v>144678.68997502985</v>
      </c>
      <c r="AJ226" s="62">
        <f t="shared" ca="1" si="357"/>
        <v>0</v>
      </c>
      <c r="AK226" s="62">
        <f t="shared" ca="1" si="357"/>
        <v>0</v>
      </c>
      <c r="AL226" s="62">
        <f t="shared" ca="1" si="357"/>
        <v>0</v>
      </c>
      <c r="AM226" s="62">
        <f t="shared" ca="1" si="357"/>
        <v>28299224.754118804</v>
      </c>
      <c r="AO226" s="62">
        <f t="shared" ref="AO226:AP226" ca="1" si="358">+AO223+AO224+AO206</f>
        <v>245494.70890709269</v>
      </c>
      <c r="AP226" s="109">
        <f t="shared" ca="1" si="358"/>
        <v>30201.536974102484</v>
      </c>
      <c r="AQ226" s="109">
        <f t="shared" ref="AQ226" ca="1" si="359">+AP226+AO226+AM226</f>
        <v>28574921</v>
      </c>
      <c r="AR226" s="72">
        <f ca="1">$E226-AQ226</f>
        <v>0</v>
      </c>
    </row>
    <row r="227" spans="1:44" ht="15" thickTop="1" thickBot="1" x14ac:dyDescent="0.5">
      <c r="A227" s="118">
        <f t="shared" si="315"/>
        <v>219</v>
      </c>
      <c r="B227" s="34"/>
      <c r="C227" s="34"/>
      <c r="D227" s="34"/>
      <c r="E227" s="29"/>
      <c r="F227" s="76"/>
      <c r="G227" s="29"/>
      <c r="H227" s="29"/>
      <c r="I227" s="29"/>
      <c r="J227" s="29"/>
      <c r="K227" s="29"/>
      <c r="L227" s="76"/>
      <c r="N227" s="76"/>
      <c r="O227" s="29"/>
      <c r="P227" s="29"/>
      <c r="Q227" s="29"/>
      <c r="R227" s="29"/>
      <c r="S227" s="29"/>
      <c r="T227" s="29"/>
      <c r="U227" s="29"/>
      <c r="V227" s="29"/>
      <c r="W227" s="29"/>
      <c r="Y227" s="29"/>
      <c r="Z227" s="29"/>
      <c r="AA227" s="29"/>
      <c r="AB227" s="76"/>
      <c r="AD227" s="76"/>
      <c r="AE227" s="29"/>
      <c r="AF227" s="29"/>
      <c r="AG227" s="29"/>
      <c r="AH227" s="29"/>
      <c r="AI227" s="29"/>
      <c r="AJ227" s="29"/>
      <c r="AK227" s="29"/>
      <c r="AL227" s="29"/>
      <c r="AM227" s="29"/>
      <c r="AO227" s="29"/>
      <c r="AP227" s="29"/>
      <c r="AQ227" s="29"/>
      <c r="AR227" s="76"/>
    </row>
    <row r="228" spans="1:44" ht="15" thickTop="1" thickBot="1" x14ac:dyDescent="0.5">
      <c r="A228" s="118">
        <f t="shared" si="315"/>
        <v>220</v>
      </c>
      <c r="B228" s="35" t="s">
        <v>72</v>
      </c>
      <c r="C228" s="35"/>
      <c r="D228" s="34"/>
      <c r="E228" s="38">
        <f>+E29+E49+E57+E117+E138+E176+E184+E191+E198+E226</f>
        <v>349151653</v>
      </c>
      <c r="F228" s="76"/>
      <c r="G228" s="38">
        <f t="shared" ref="G228:K228" si="360">+G29+G49+G57+G117+G138+G176+G184+G191+G198+G226</f>
        <v>284355.55316941172</v>
      </c>
      <c r="H228" s="38">
        <f t="shared" si="360"/>
        <v>187269.27264117642</v>
      </c>
      <c r="I228" s="38">
        <f t="shared" si="360"/>
        <v>1916191.6189799998</v>
      </c>
      <c r="J228" s="38">
        <f t="shared" si="360"/>
        <v>0</v>
      </c>
      <c r="K228" s="38">
        <f t="shared" si="360"/>
        <v>346763836.5552094</v>
      </c>
      <c r="L228" s="72">
        <f>$E228-SUM(G228:K228)</f>
        <v>0</v>
      </c>
      <c r="N228" s="76"/>
      <c r="O228" s="38">
        <f t="shared" ref="O228:W228" si="361">+O29+O49+O57+O117+O138+O176+O184+O191+O198+O226</f>
        <v>64426.808244217049</v>
      </c>
      <c r="P228" s="38">
        <f t="shared" si="361"/>
        <v>219928.74492519465</v>
      </c>
      <c r="Q228" s="38">
        <f t="shared" si="361"/>
        <v>187269.27264117642</v>
      </c>
      <c r="R228" s="38">
        <f t="shared" si="361"/>
        <v>0</v>
      </c>
      <c r="S228" s="38">
        <f t="shared" si="361"/>
        <v>1916191.6189799998</v>
      </c>
      <c r="T228" s="38">
        <f t="shared" si="361"/>
        <v>0</v>
      </c>
      <c r="U228" s="38">
        <f t="shared" si="361"/>
        <v>0</v>
      </c>
      <c r="V228" s="38">
        <f t="shared" si="361"/>
        <v>0</v>
      </c>
      <c r="W228" s="38">
        <f t="shared" si="361"/>
        <v>346763836.5552094</v>
      </c>
      <c r="Y228" s="38">
        <f t="shared" ref="Y228:AA228" si="362">+Y29+Y49+Y57+Y117+Y138+Y176+Y184+Y191+Y198+Y226</f>
        <v>2167887.6998653933</v>
      </c>
      <c r="Z228" s="38">
        <f t="shared" si="362"/>
        <v>219928.74492519465</v>
      </c>
      <c r="AA228" s="38">
        <f t="shared" si="362"/>
        <v>349151653</v>
      </c>
      <c r="AB228" s="72">
        <f t="shared" ref="AB228" si="363">$E228-AA228</f>
        <v>0</v>
      </c>
      <c r="AD228" s="76"/>
      <c r="AE228" s="38">
        <f t="shared" ref="AE228:AM228" ca="1" si="364">+AE29+AE49+AE57+AE117+AE138+AE176+AE184+AE191+AE198+AE226</f>
        <v>34714.428693937429</v>
      </c>
      <c r="AF228" s="38">
        <f t="shared" ca="1" si="364"/>
        <v>53511.977953960624</v>
      </c>
      <c r="AG228" s="38">
        <f t="shared" ca="1" si="364"/>
        <v>123143.88280980985</v>
      </c>
      <c r="AH228" s="38">
        <f t="shared" ca="1" si="364"/>
        <v>0</v>
      </c>
      <c r="AI228" s="38">
        <f t="shared" ca="1" si="364"/>
        <v>467108.67526510253</v>
      </c>
      <c r="AJ228" s="38">
        <f t="shared" ca="1" si="364"/>
        <v>0</v>
      </c>
      <c r="AK228" s="38">
        <f t="shared" ca="1" si="364"/>
        <v>0</v>
      </c>
      <c r="AL228" s="38">
        <f t="shared" ca="1" si="364"/>
        <v>0</v>
      </c>
      <c r="AM228" s="38">
        <f t="shared" ca="1" si="364"/>
        <v>348473174.03527713</v>
      </c>
      <c r="AO228" s="38">
        <f t="shared" ref="AO228:AQ228" ca="1" si="365">+AO29+AO49+AO57+AO117+AO138+AO176+AO184+AO191+AO198+AO226</f>
        <v>624966.98676884978</v>
      </c>
      <c r="AP228" s="38">
        <f t="shared" ca="1" si="365"/>
        <v>53511.977953960624</v>
      </c>
      <c r="AQ228" s="38">
        <f t="shared" ca="1" si="365"/>
        <v>349151653</v>
      </c>
      <c r="AR228" s="72">
        <f t="shared" ref="AR228" ca="1" si="366">$E228-AQ228</f>
        <v>0</v>
      </c>
    </row>
    <row r="229" spans="1:44" ht="14.65" thickTop="1" x14ac:dyDescent="0.45">
      <c r="A229" s="118">
        <f t="shared" si="315"/>
        <v>221</v>
      </c>
      <c r="B229" s="37"/>
      <c r="C229" s="37"/>
      <c r="D229" s="34"/>
      <c r="E229" s="34"/>
      <c r="F229" s="76"/>
      <c r="G229" s="88"/>
      <c r="H229" s="88"/>
      <c r="I229" s="88"/>
      <c r="J229" s="88"/>
      <c r="K229" s="88"/>
      <c r="L229" s="76"/>
      <c r="N229" s="76"/>
      <c r="O229" s="88"/>
      <c r="P229" s="88"/>
      <c r="Q229" s="88"/>
      <c r="R229" s="88"/>
      <c r="S229" s="88"/>
      <c r="T229" s="88"/>
      <c r="U229" s="88"/>
      <c r="V229" s="88"/>
      <c r="W229" s="88"/>
      <c r="Y229" s="88"/>
      <c r="Z229" s="88"/>
      <c r="AA229" s="88"/>
      <c r="AB229" s="76"/>
      <c r="AD229" s="76"/>
      <c r="AE229" s="88"/>
      <c r="AF229" s="88"/>
      <c r="AG229" s="88"/>
      <c r="AH229" s="88"/>
      <c r="AI229" s="88"/>
      <c r="AJ229" s="88"/>
      <c r="AK229" s="88"/>
      <c r="AL229" s="88"/>
      <c r="AM229" s="88"/>
      <c r="AO229" s="88"/>
      <c r="AP229" s="88"/>
      <c r="AQ229" s="88"/>
      <c r="AR229" s="76"/>
    </row>
    <row r="230" spans="1:44" x14ac:dyDescent="0.45">
      <c r="A230" s="118">
        <f t="shared" si="315"/>
        <v>222</v>
      </c>
      <c r="B230" s="35" t="s">
        <v>1</v>
      </c>
      <c r="C230" s="35"/>
      <c r="D230" s="34"/>
      <c r="E230" s="34"/>
      <c r="F230" s="74"/>
      <c r="G230" s="88"/>
      <c r="H230" s="88"/>
      <c r="I230" s="88"/>
      <c r="J230" s="88"/>
      <c r="K230" s="88"/>
      <c r="L230" s="74"/>
      <c r="N230" s="74"/>
      <c r="O230" s="88"/>
      <c r="P230" s="88"/>
      <c r="Q230" s="88"/>
      <c r="R230" s="88"/>
      <c r="S230" s="88"/>
      <c r="T230" s="88"/>
      <c r="U230" s="88"/>
      <c r="V230" s="88"/>
      <c r="W230" s="88"/>
      <c r="Y230" s="88"/>
      <c r="Z230" s="88"/>
      <c r="AA230" s="88"/>
      <c r="AB230" s="74"/>
      <c r="AD230" s="74"/>
      <c r="AE230" s="88"/>
      <c r="AF230" s="88"/>
      <c r="AG230" s="88"/>
      <c r="AH230" s="88"/>
      <c r="AI230" s="88"/>
      <c r="AJ230" s="88"/>
      <c r="AK230" s="88"/>
      <c r="AL230" s="88"/>
      <c r="AM230" s="88"/>
      <c r="AO230" s="88"/>
      <c r="AP230" s="88"/>
      <c r="AQ230" s="88"/>
      <c r="AR230" s="74"/>
    </row>
    <row r="231" spans="1:44" x14ac:dyDescent="0.45">
      <c r="A231" s="118">
        <f t="shared" si="315"/>
        <v>223</v>
      </c>
      <c r="B231" s="37"/>
      <c r="C231" s="37" t="s">
        <v>420</v>
      </c>
      <c r="D231" s="34" t="s">
        <v>744</v>
      </c>
      <c r="E231" s="25">
        <v>0</v>
      </c>
      <c r="F231" s="8">
        <v>101</v>
      </c>
      <c r="G231" s="1">
        <f>VLOOKUP($F231,AF!$B$39:$M$80,G$9)*$E231</f>
        <v>0</v>
      </c>
      <c r="H231" s="1">
        <f>VLOOKUP($F231,AF!$B$39:$M$80,H$9)*$E231</f>
        <v>0</v>
      </c>
      <c r="I231" s="1">
        <f>VLOOKUP($F231,AF!$B$39:$M$80,I$9)*$E231</f>
        <v>0</v>
      </c>
      <c r="J231" s="1">
        <f>VLOOKUP($F231,AF!$B$39:$M$80,J$9)*$E231</f>
        <v>0</v>
      </c>
      <c r="K231" s="1">
        <f t="shared" ref="K231:K234" si="367">E231-SUM(G231:J231)</f>
        <v>0</v>
      </c>
      <c r="L231" s="72">
        <f t="shared" ref="L231:L244" si="368">$E231-SUM(G231:K231)</f>
        <v>0</v>
      </c>
      <c r="N231" s="8">
        <v>206</v>
      </c>
      <c r="O231" s="1">
        <f>VLOOKUP($N231,AF!$B$39:$M$80,O$9)*$G231</f>
        <v>0</v>
      </c>
      <c r="P231" s="1">
        <f>VLOOKUP($N231,AF!$B$39:$M$80,P$9)*$G231</f>
        <v>0</v>
      </c>
      <c r="Q231" s="1">
        <f>VLOOKUP($N231,AF!$B$39:$M$80,Q$9)*$H231</f>
        <v>0</v>
      </c>
      <c r="R231" s="1">
        <f>VLOOKUP($N231,AF!$B$39:$M$80,R$9)*$H231</f>
        <v>0</v>
      </c>
      <c r="S231" s="1">
        <f>VLOOKUP($N231,AF!$B$39:$M$80,S$9)*$I231</f>
        <v>0</v>
      </c>
      <c r="T231" s="1">
        <f>VLOOKUP($N231,AF!$B$39:$M$80,T$9)*$I231</f>
        <v>0</v>
      </c>
      <c r="U231" s="1">
        <f>VLOOKUP($N231,AF!$B$39:$M$80,U$9)*$J231</f>
        <v>0</v>
      </c>
      <c r="V231" s="1">
        <f>VLOOKUP($N231,AF!$B$39:$M$80,V$9)*$J231</f>
        <v>0</v>
      </c>
      <c r="W231" s="1">
        <f t="shared" ref="W231:W241" si="369">E231-SUM(O231:V231)</f>
        <v>0</v>
      </c>
      <c r="Y231" s="1">
        <f t="shared" ref="Y231:Y241" si="370">+O231+Q231+S231+U231</f>
        <v>0</v>
      </c>
      <c r="Z231" s="1">
        <f t="shared" ref="Z231:Z241" si="371">+P231+R231+T231+V231</f>
        <v>0</v>
      </c>
      <c r="AA231" s="1">
        <f t="shared" ref="AA231:AA241" si="372">+Z231+Y231+W231</f>
        <v>0</v>
      </c>
      <c r="AB231" s="72">
        <f t="shared" ref="AB231:AB244" si="373">$E231-AA231</f>
        <v>0</v>
      </c>
      <c r="AD231" s="72">
        <v>306</v>
      </c>
      <c r="AE231" s="1">
        <f>VLOOKUP($AD231,AF!$B$39:$M$80,AE$9)*$O231</f>
        <v>0</v>
      </c>
      <c r="AF231" s="1">
        <f>VLOOKUP($AD231,AF!$B$39:$M$80,AF$9)*$P231</f>
        <v>0</v>
      </c>
      <c r="AG231" s="1">
        <f>VLOOKUP($AD231,AF!$B$39:$M$80,AG$9)*$Q231</f>
        <v>0</v>
      </c>
      <c r="AH231" s="1">
        <f>VLOOKUP($AD231,AF!$B$39:$M$80,AH$9)*$R231</f>
        <v>0</v>
      </c>
      <c r="AI231" s="1">
        <f>VLOOKUP($AD231,AF!$B$39:$M$80,AI$9)*$S231</f>
        <v>0</v>
      </c>
      <c r="AJ231" s="1">
        <f>VLOOKUP($AD231,AF!$B$39:$M$80,AJ$9)*$T231</f>
        <v>0</v>
      </c>
      <c r="AK231" s="1">
        <f>VLOOKUP($AD231,AF!$B$39:$M$80,AK$9)*$U231</f>
        <v>0</v>
      </c>
      <c r="AL231" s="1">
        <f>VLOOKUP($AD231,AF!$B$39:$M$80,AL$9)*$V231</f>
        <v>0</v>
      </c>
      <c r="AM231" s="1">
        <f t="shared" ref="AM231:AM241" si="374">E231-SUM(AE231:AL231)</f>
        <v>0</v>
      </c>
      <c r="AO231" s="1">
        <f t="shared" ref="AO231:AO241" si="375">+AE231+AG231+AI231+AK231</f>
        <v>0</v>
      </c>
      <c r="AP231" s="1">
        <f t="shared" ref="AP231:AP241" si="376">+AF231+AH231+AJ231+AL231</f>
        <v>0</v>
      </c>
      <c r="AQ231" s="1">
        <f t="shared" ref="AQ231:AQ241" si="377">+AP231+AO231+AM231</f>
        <v>0</v>
      </c>
      <c r="AR231" s="72">
        <f t="shared" ref="AR231:AR244" si="378">$E231-AQ231</f>
        <v>0</v>
      </c>
    </row>
    <row r="232" spans="1:44" x14ac:dyDescent="0.45">
      <c r="A232" s="118">
        <f t="shared" si="315"/>
        <v>224</v>
      </c>
      <c r="B232" s="37"/>
      <c r="C232" s="37" t="s">
        <v>413</v>
      </c>
      <c r="D232" s="34" t="s">
        <v>414</v>
      </c>
      <c r="E232" s="25">
        <v>10187894</v>
      </c>
      <c r="F232" s="8">
        <v>101</v>
      </c>
      <c r="G232" s="1">
        <f>VLOOKUP($F232,AF!$B$39:$M$80,G$9)*$E232</f>
        <v>0</v>
      </c>
      <c r="H232" s="1">
        <f>VLOOKUP($F232,AF!$B$39:$M$80,H$9)*$E232</f>
        <v>0</v>
      </c>
      <c r="I232" s="1">
        <f>VLOOKUP($F232,AF!$B$39:$M$80,I$9)*$E232</f>
        <v>0</v>
      </c>
      <c r="J232" s="1">
        <f>VLOOKUP($F232,AF!$B$39:$M$80,J$9)*$E232</f>
        <v>0</v>
      </c>
      <c r="K232" s="1">
        <f t="shared" si="367"/>
        <v>10187894</v>
      </c>
      <c r="L232" s="72">
        <f t="shared" si="368"/>
        <v>0</v>
      </c>
      <c r="N232" s="8">
        <v>206</v>
      </c>
      <c r="O232" s="1">
        <f>VLOOKUP($N232,AF!$B$39:$M$80,O$9)*$G232</f>
        <v>0</v>
      </c>
      <c r="P232" s="1">
        <f>VLOOKUP($N232,AF!$B$39:$M$80,P$9)*$G232</f>
        <v>0</v>
      </c>
      <c r="Q232" s="1">
        <f>VLOOKUP($N232,AF!$B$39:$M$80,Q$9)*$H232</f>
        <v>0</v>
      </c>
      <c r="R232" s="1">
        <f>VLOOKUP($N232,AF!$B$39:$M$80,R$9)*$H232</f>
        <v>0</v>
      </c>
      <c r="S232" s="1">
        <f>VLOOKUP($N232,AF!$B$39:$M$80,S$9)*$I232</f>
        <v>0</v>
      </c>
      <c r="T232" s="1">
        <f>VLOOKUP($N232,AF!$B$39:$M$80,T$9)*$I232</f>
        <v>0</v>
      </c>
      <c r="U232" s="1">
        <f>VLOOKUP($N232,AF!$B$39:$M$80,U$9)*$J232</f>
        <v>0</v>
      </c>
      <c r="V232" s="1">
        <f>VLOOKUP($N232,AF!$B$39:$M$80,V$9)*$J232</f>
        <v>0</v>
      </c>
      <c r="W232" s="1">
        <f t="shared" si="369"/>
        <v>10187894</v>
      </c>
      <c r="Y232" s="1">
        <f t="shared" si="370"/>
        <v>0</v>
      </c>
      <c r="Z232" s="1">
        <f t="shared" si="371"/>
        <v>0</v>
      </c>
      <c r="AA232" s="1">
        <f t="shared" si="372"/>
        <v>10187894</v>
      </c>
      <c r="AB232" s="72">
        <f t="shared" si="373"/>
        <v>0</v>
      </c>
      <c r="AD232" s="72">
        <v>306</v>
      </c>
      <c r="AE232" s="1">
        <f>VLOOKUP($AD232,AF!$B$39:$M$80,AE$9)*$O232</f>
        <v>0</v>
      </c>
      <c r="AF232" s="1">
        <f>VLOOKUP($AD232,AF!$B$39:$M$80,AF$9)*$P232</f>
        <v>0</v>
      </c>
      <c r="AG232" s="1">
        <f>VLOOKUP($AD232,AF!$B$39:$M$80,AG$9)*$Q232</f>
        <v>0</v>
      </c>
      <c r="AH232" s="1">
        <f>VLOOKUP($AD232,AF!$B$39:$M$80,AH$9)*$R232</f>
        <v>0</v>
      </c>
      <c r="AI232" s="1">
        <f>VLOOKUP($AD232,AF!$B$39:$M$80,AI$9)*$S232</f>
        <v>0</v>
      </c>
      <c r="AJ232" s="1">
        <f>VLOOKUP($AD232,AF!$B$39:$M$80,AJ$9)*$T232</f>
        <v>0</v>
      </c>
      <c r="AK232" s="1">
        <f>VLOOKUP($AD232,AF!$B$39:$M$80,AK$9)*$U232</f>
        <v>0</v>
      </c>
      <c r="AL232" s="1">
        <f>VLOOKUP($AD232,AF!$B$39:$M$80,AL$9)*$V232</f>
        <v>0</v>
      </c>
      <c r="AM232" s="1">
        <f t="shared" si="374"/>
        <v>10187894</v>
      </c>
      <c r="AO232" s="1">
        <f t="shared" si="375"/>
        <v>0</v>
      </c>
      <c r="AP232" s="1">
        <f t="shared" si="376"/>
        <v>0</v>
      </c>
      <c r="AQ232" s="1">
        <f t="shared" si="377"/>
        <v>10187894</v>
      </c>
      <c r="AR232" s="72">
        <f t="shared" si="378"/>
        <v>0</v>
      </c>
    </row>
    <row r="233" spans="1:44" x14ac:dyDescent="0.45">
      <c r="A233" s="118">
        <f t="shared" si="315"/>
        <v>225</v>
      </c>
      <c r="B233" s="34"/>
      <c r="C233" s="34" t="s">
        <v>75</v>
      </c>
      <c r="D233" s="34" t="s">
        <v>136</v>
      </c>
      <c r="E233" s="25">
        <v>21832555</v>
      </c>
      <c r="F233" s="8">
        <v>101</v>
      </c>
      <c r="G233" s="1">
        <f>VLOOKUP($F233,AF!$B$39:$M$80,G$9)*$E233</f>
        <v>0</v>
      </c>
      <c r="H233" s="1">
        <f>VLOOKUP($F233,AF!$B$39:$M$80,H$9)*$E233</f>
        <v>0</v>
      </c>
      <c r="I233" s="1">
        <f>VLOOKUP($F233,AF!$B$39:$M$80,I$9)*$E233</f>
        <v>0</v>
      </c>
      <c r="J233" s="1">
        <f>VLOOKUP($F233,AF!$B$39:$M$80,J$9)*$E233</f>
        <v>0</v>
      </c>
      <c r="K233" s="1">
        <f t="shared" si="367"/>
        <v>21832555</v>
      </c>
      <c r="L233" s="72">
        <f t="shared" si="368"/>
        <v>0</v>
      </c>
      <c r="N233" s="8">
        <v>206</v>
      </c>
      <c r="O233" s="1">
        <f>VLOOKUP($N233,AF!$B$39:$M$80,O$9)*$G233</f>
        <v>0</v>
      </c>
      <c r="P233" s="1">
        <f>VLOOKUP($N233,AF!$B$39:$M$80,P$9)*$G233</f>
        <v>0</v>
      </c>
      <c r="Q233" s="1">
        <f>VLOOKUP($N233,AF!$B$39:$M$80,Q$9)*$H233</f>
        <v>0</v>
      </c>
      <c r="R233" s="1">
        <f>VLOOKUP($N233,AF!$B$39:$M$80,R$9)*$H233</f>
        <v>0</v>
      </c>
      <c r="S233" s="1">
        <f>VLOOKUP($N233,AF!$B$39:$M$80,S$9)*$I233</f>
        <v>0</v>
      </c>
      <c r="T233" s="1">
        <f>VLOOKUP($N233,AF!$B$39:$M$80,T$9)*$I233</f>
        <v>0</v>
      </c>
      <c r="U233" s="1">
        <f>VLOOKUP($N233,AF!$B$39:$M$80,U$9)*$J233</f>
        <v>0</v>
      </c>
      <c r="V233" s="1">
        <f>VLOOKUP($N233,AF!$B$39:$M$80,V$9)*$J233</f>
        <v>0</v>
      </c>
      <c r="W233" s="1">
        <f t="shared" si="369"/>
        <v>21832555</v>
      </c>
      <c r="Y233" s="1">
        <f t="shared" si="370"/>
        <v>0</v>
      </c>
      <c r="Z233" s="1">
        <f t="shared" si="371"/>
        <v>0</v>
      </c>
      <c r="AA233" s="1">
        <f t="shared" si="372"/>
        <v>21832555</v>
      </c>
      <c r="AB233" s="72">
        <f t="shared" si="373"/>
        <v>0</v>
      </c>
      <c r="AD233" s="72">
        <v>306</v>
      </c>
      <c r="AE233" s="1">
        <f>VLOOKUP($AD233,AF!$B$39:$M$80,AE$9)*$O233</f>
        <v>0</v>
      </c>
      <c r="AF233" s="1">
        <f>VLOOKUP($AD233,AF!$B$39:$M$80,AF$9)*$P233</f>
        <v>0</v>
      </c>
      <c r="AG233" s="1">
        <f>VLOOKUP($AD233,AF!$B$39:$M$80,AG$9)*$Q233</f>
        <v>0</v>
      </c>
      <c r="AH233" s="1">
        <f>VLOOKUP($AD233,AF!$B$39:$M$80,AH$9)*$R233</f>
        <v>0</v>
      </c>
      <c r="AI233" s="1">
        <f>VLOOKUP($AD233,AF!$B$39:$M$80,AI$9)*$S233</f>
        <v>0</v>
      </c>
      <c r="AJ233" s="1">
        <f>VLOOKUP($AD233,AF!$B$39:$M$80,AJ$9)*$T233</f>
        <v>0</v>
      </c>
      <c r="AK233" s="1">
        <f>VLOOKUP($AD233,AF!$B$39:$M$80,AK$9)*$U233</f>
        <v>0</v>
      </c>
      <c r="AL233" s="1">
        <f>VLOOKUP($AD233,AF!$B$39:$M$80,AL$9)*$V233</f>
        <v>0</v>
      </c>
      <c r="AM233" s="1">
        <f t="shared" si="374"/>
        <v>21832555</v>
      </c>
      <c r="AO233" s="1">
        <f t="shared" si="375"/>
        <v>0</v>
      </c>
      <c r="AP233" s="1">
        <f t="shared" si="376"/>
        <v>0</v>
      </c>
      <c r="AQ233" s="1">
        <f t="shared" si="377"/>
        <v>21832555</v>
      </c>
      <c r="AR233" s="72">
        <f t="shared" si="378"/>
        <v>0</v>
      </c>
    </row>
    <row r="234" spans="1:44" x14ac:dyDescent="0.45">
      <c r="A234" s="118">
        <f t="shared" si="315"/>
        <v>226</v>
      </c>
      <c r="B234" s="34"/>
      <c r="C234" s="34" t="s">
        <v>79</v>
      </c>
      <c r="D234" s="34" t="s">
        <v>419</v>
      </c>
      <c r="E234" s="25">
        <f>1717095-E235-E236</f>
        <v>454147</v>
      </c>
      <c r="F234" s="8">
        <v>101</v>
      </c>
      <c r="G234" s="1">
        <f>VLOOKUP($F234,AF!$B$39:$M$80,G$9)*$E234</f>
        <v>0</v>
      </c>
      <c r="H234" s="1">
        <f>VLOOKUP($F234,AF!$B$39:$M$80,H$9)*$E234</f>
        <v>0</v>
      </c>
      <c r="I234" s="1">
        <f>VLOOKUP($F234,AF!$B$39:$M$80,I$9)*$E234</f>
        <v>0</v>
      </c>
      <c r="J234" s="1">
        <f>VLOOKUP($F234,AF!$B$39:$M$80,J$9)*$E234</f>
        <v>0</v>
      </c>
      <c r="K234" s="1">
        <f t="shared" si="367"/>
        <v>454147</v>
      </c>
      <c r="L234" s="72">
        <f t="shared" si="368"/>
        <v>0</v>
      </c>
      <c r="N234" s="8">
        <v>204</v>
      </c>
      <c r="O234" s="1">
        <f>VLOOKUP($N234,AF!$B$39:$M$80,O$9)*$G234</f>
        <v>0</v>
      </c>
      <c r="P234" s="1">
        <f>VLOOKUP($N234,AF!$B$39:$M$80,P$9)*$G234</f>
        <v>0</v>
      </c>
      <c r="Q234" s="1">
        <f>VLOOKUP($N234,AF!$B$39:$M$80,Q$9)*$H234</f>
        <v>0</v>
      </c>
      <c r="R234" s="1">
        <f>VLOOKUP($N234,AF!$B$39:$M$80,R$9)*$H234</f>
        <v>0</v>
      </c>
      <c r="S234" s="1">
        <f>VLOOKUP($N234,AF!$B$39:$M$80,S$9)*$I234</f>
        <v>0</v>
      </c>
      <c r="T234" s="1">
        <f>VLOOKUP($N234,AF!$B$39:$M$80,T$9)*$I234</f>
        <v>0</v>
      </c>
      <c r="U234" s="1">
        <f>VLOOKUP($N234,AF!$B$39:$M$80,U$9)*$J234</f>
        <v>0</v>
      </c>
      <c r="V234" s="1">
        <f>VLOOKUP($N234,AF!$B$39:$M$80,V$9)*$J234</f>
        <v>0</v>
      </c>
      <c r="W234" s="1">
        <f t="shared" si="369"/>
        <v>454147</v>
      </c>
      <c r="Y234" s="1">
        <f t="shared" si="370"/>
        <v>0</v>
      </c>
      <c r="Z234" s="1">
        <f t="shared" si="371"/>
        <v>0</v>
      </c>
      <c r="AA234" s="1">
        <f t="shared" si="372"/>
        <v>454147</v>
      </c>
      <c r="AB234" s="72">
        <f t="shared" si="373"/>
        <v>0</v>
      </c>
      <c r="AD234" s="72">
        <v>306</v>
      </c>
      <c r="AE234" s="1">
        <f>VLOOKUP($AD234,AF!$B$39:$M$80,AE$9)*$O234</f>
        <v>0</v>
      </c>
      <c r="AF234" s="1">
        <f>VLOOKUP($AD234,AF!$B$39:$M$80,AF$9)*$P234</f>
        <v>0</v>
      </c>
      <c r="AG234" s="1">
        <f>VLOOKUP($AD234,AF!$B$39:$M$80,AG$9)*$Q234</f>
        <v>0</v>
      </c>
      <c r="AH234" s="1">
        <f>VLOOKUP($AD234,AF!$B$39:$M$80,AH$9)*$R234</f>
        <v>0</v>
      </c>
      <c r="AI234" s="1">
        <f>VLOOKUP($AD234,AF!$B$39:$M$80,AI$9)*$S234</f>
        <v>0</v>
      </c>
      <c r="AJ234" s="1">
        <f>VLOOKUP($AD234,AF!$B$39:$M$80,AJ$9)*$T234</f>
        <v>0</v>
      </c>
      <c r="AK234" s="1">
        <f>VLOOKUP($AD234,AF!$B$39:$M$80,AK$9)*$U234</f>
        <v>0</v>
      </c>
      <c r="AL234" s="1">
        <f>VLOOKUP($AD234,AF!$B$39:$M$80,AL$9)*$V234</f>
        <v>0</v>
      </c>
      <c r="AM234" s="1">
        <f t="shared" si="374"/>
        <v>454147</v>
      </c>
      <c r="AO234" s="1">
        <f t="shared" si="375"/>
        <v>0</v>
      </c>
      <c r="AP234" s="1">
        <f t="shared" si="376"/>
        <v>0</v>
      </c>
      <c r="AQ234" s="1">
        <f t="shared" si="377"/>
        <v>454147</v>
      </c>
      <c r="AR234" s="72">
        <f t="shared" si="378"/>
        <v>0</v>
      </c>
    </row>
    <row r="235" spans="1:44" x14ac:dyDescent="0.45">
      <c r="A235" s="118">
        <f t="shared" si="315"/>
        <v>227</v>
      </c>
      <c r="B235" s="34"/>
      <c r="C235" s="34" t="s">
        <v>718</v>
      </c>
      <c r="D235" s="34"/>
      <c r="E235" s="17">
        <f>SUM(G235:K235)</f>
        <v>985094</v>
      </c>
      <c r="F235" s="8">
        <v>100</v>
      </c>
      <c r="G235" s="20">
        <v>145890</v>
      </c>
      <c r="H235" s="20">
        <v>401010</v>
      </c>
      <c r="I235" s="20">
        <v>323654</v>
      </c>
      <c r="J235" s="20">
        <v>0</v>
      </c>
      <c r="K235" s="20">
        <f>19414+55698+39428</f>
        <v>114540</v>
      </c>
      <c r="L235" s="72">
        <f t="shared" si="368"/>
        <v>0</v>
      </c>
      <c r="N235" s="8">
        <v>202</v>
      </c>
      <c r="O235" s="1">
        <f>VLOOKUP($N235,AF!$B$39:$M$80,O$9)*$G235</f>
        <v>112915.23260080522</v>
      </c>
      <c r="P235" s="1">
        <f>VLOOKUP($N235,AF!$B$39:$M$80,P$9)*$G235</f>
        <v>32974.767399194774</v>
      </c>
      <c r="Q235" s="1">
        <f>VLOOKUP($N235,AF!$B$39:$M$80,Q$9)*$H235</f>
        <v>401010</v>
      </c>
      <c r="R235" s="1">
        <f>VLOOKUP($N235,AF!$B$39:$M$80,R$9)*$H235</f>
        <v>0</v>
      </c>
      <c r="S235" s="1">
        <f>VLOOKUP($N235,AF!$B$39:$M$80,S$9)*$I235</f>
        <v>323654</v>
      </c>
      <c r="T235" s="1">
        <f>VLOOKUP($N235,AF!$B$39:$M$80,T$9)*$I235</f>
        <v>0</v>
      </c>
      <c r="U235" s="1">
        <f>VLOOKUP($N235,AF!$B$39:$M$80,U$9)*$J235</f>
        <v>0</v>
      </c>
      <c r="V235" s="1">
        <f>VLOOKUP($N235,AF!$B$39:$M$80,V$9)*$J235</f>
        <v>0</v>
      </c>
      <c r="W235" s="1">
        <f t="shared" si="369"/>
        <v>114540</v>
      </c>
      <c r="Y235" s="1">
        <f t="shared" si="370"/>
        <v>837579.23260080523</v>
      </c>
      <c r="Z235" s="1">
        <f t="shared" si="371"/>
        <v>32974.767399194774</v>
      </c>
      <c r="AA235" s="1">
        <f t="shared" si="372"/>
        <v>985094</v>
      </c>
      <c r="AB235" s="72">
        <f t="shared" si="373"/>
        <v>0</v>
      </c>
      <c r="AD235" s="72">
        <v>300</v>
      </c>
      <c r="AE235" s="1">
        <f>VLOOKUP($AD235,AF!$B$39:$M$80,AE$9)*$O235</f>
        <v>112915.23260080522</v>
      </c>
      <c r="AF235" s="1">
        <f>VLOOKUP($AD235,AF!$B$39:$M$80,AF$9)*$P235</f>
        <v>32974.767399194774</v>
      </c>
      <c r="AG235" s="1">
        <f>VLOOKUP($AD235,AF!$B$39:$M$80,AG$9)*$Q235</f>
        <v>401010</v>
      </c>
      <c r="AH235" s="1">
        <f>VLOOKUP($AD235,AF!$B$39:$M$80,AH$9)*$R235</f>
        <v>0</v>
      </c>
      <c r="AI235" s="1">
        <f>VLOOKUP($AD235,AF!$B$39:$M$80,AI$9)*$S235</f>
        <v>323654</v>
      </c>
      <c r="AJ235" s="1">
        <f>VLOOKUP($AD235,AF!$B$39:$M$80,AJ$9)*$T235</f>
        <v>0</v>
      </c>
      <c r="AK235" s="1">
        <f>VLOOKUP($AD235,AF!$B$39:$M$80,AK$9)*$U235</f>
        <v>0</v>
      </c>
      <c r="AL235" s="1">
        <f>VLOOKUP($AD235,AF!$B$39:$M$80,AL$9)*$V235</f>
        <v>0</v>
      </c>
      <c r="AM235" s="1">
        <f t="shared" si="374"/>
        <v>114540</v>
      </c>
      <c r="AO235" s="1">
        <f t="shared" si="375"/>
        <v>837579.23260080523</v>
      </c>
      <c r="AP235" s="1">
        <f t="shared" si="376"/>
        <v>32974.767399194774</v>
      </c>
      <c r="AQ235" s="1">
        <f t="shared" si="377"/>
        <v>985094</v>
      </c>
      <c r="AR235" s="72">
        <f t="shared" si="378"/>
        <v>0</v>
      </c>
    </row>
    <row r="236" spans="1:44" x14ac:dyDescent="0.45">
      <c r="A236" s="147">
        <f t="shared" si="315"/>
        <v>228</v>
      </c>
      <c r="B236" s="34"/>
      <c r="C236" s="34" t="s">
        <v>843</v>
      </c>
      <c r="D236" s="34"/>
      <c r="E236" s="25">
        <v>277854</v>
      </c>
      <c r="F236" s="8">
        <v>102</v>
      </c>
      <c r="G236" s="1">
        <f>VLOOKUP($F236,AF!$B$39:$M$80,G$9)*$E236</f>
        <v>4776.8595988538682</v>
      </c>
      <c r="H236" s="1">
        <f>VLOOKUP($F236,AF!$B$39:$M$80,H$9)*$E236</f>
        <v>3980.7163323782238</v>
      </c>
      <c r="I236" s="1">
        <f>VLOOKUP($F236,AF!$B$39:$M$80,I$9)*$E236</f>
        <v>13534.435530085961</v>
      </c>
      <c r="J236" s="1">
        <f>VLOOKUP($F236,AF!$B$39:$M$80,J$9)*$E236</f>
        <v>0</v>
      </c>
      <c r="K236" s="1">
        <f t="shared" ref="K236" si="379">E236-SUM(G236:J236)</f>
        <v>255561.98853868194</v>
      </c>
      <c r="L236" s="72"/>
      <c r="N236" s="8">
        <v>204</v>
      </c>
      <c r="O236" s="1">
        <f>VLOOKUP($N236,AF!$B$39:$M$80,O$9)*$G236</f>
        <v>796.14326647564462</v>
      </c>
      <c r="P236" s="1">
        <f>VLOOKUP($N236,AF!$B$39:$M$80,P$9)*$G236</f>
        <v>3980.7163323782238</v>
      </c>
      <c r="Q236" s="1">
        <f>VLOOKUP($N236,AF!$B$39:$M$80,Q$9)*$H236</f>
        <v>3980.7163323782238</v>
      </c>
      <c r="R236" s="1">
        <f>VLOOKUP($N236,AF!$B$39:$M$80,R$9)*$H236</f>
        <v>0</v>
      </c>
      <c r="S236" s="1">
        <f>VLOOKUP($N236,AF!$B$39:$M$80,S$9)*$I236</f>
        <v>13534.435530085961</v>
      </c>
      <c r="T236" s="1">
        <f>VLOOKUP($N236,AF!$B$39:$M$80,T$9)*$I236</f>
        <v>0</v>
      </c>
      <c r="U236" s="1">
        <f>VLOOKUP($N236,AF!$B$39:$M$80,U$9)*$J236</f>
        <v>0</v>
      </c>
      <c r="V236" s="1">
        <f>VLOOKUP($N236,AF!$B$39:$M$80,V$9)*$J236</f>
        <v>0</v>
      </c>
      <c r="W236" s="1">
        <f t="shared" ref="W236" si="380">E236-SUM(O236:V236)</f>
        <v>255561.98853868194</v>
      </c>
      <c r="Y236" s="1">
        <f t="shared" si="370"/>
        <v>18311.29512893983</v>
      </c>
      <c r="Z236" s="1">
        <f t="shared" si="371"/>
        <v>3980.7163323782238</v>
      </c>
      <c r="AA236" s="1">
        <f t="shared" si="372"/>
        <v>277854</v>
      </c>
      <c r="AB236" s="72"/>
      <c r="AD236" s="72">
        <v>305</v>
      </c>
      <c r="AE236" s="1">
        <f ca="1">VLOOKUP($AD236,AF!$B$39:$M$80,AE$9)*$O236</f>
        <v>625.87939288106611</v>
      </c>
      <c r="AF236" s="1">
        <f ca="1">VLOOKUP($AD236,AF!$B$39:$M$80,AF$9)*$P236</f>
        <v>1111.2505045700532</v>
      </c>
      <c r="AG236" s="1">
        <f ca="1">VLOOKUP($AD236,AF!$B$39:$M$80,AG$9)*$Q236</f>
        <v>2437.0048361596741</v>
      </c>
      <c r="AH236" s="1">
        <f ca="1">VLOOKUP($AD236,AF!$B$39:$M$80,AH$9)*$R236</f>
        <v>0</v>
      </c>
      <c r="AI236" s="1">
        <f ca="1">VLOOKUP($AD236,AF!$B$39:$M$80,AI$9)*$S236</f>
        <v>4182.6274790884017</v>
      </c>
      <c r="AJ236" s="1">
        <f ca="1">VLOOKUP($AD236,AF!$B$39:$M$80,AJ$9)*$T236</f>
        <v>0</v>
      </c>
      <c r="AK236" s="1">
        <f ca="1">VLOOKUP($AD236,AF!$B$39:$M$80,AK$9)*$U236</f>
        <v>0</v>
      </c>
      <c r="AL236" s="1">
        <f ca="1">VLOOKUP($AD236,AF!$B$39:$M$80,AL$9)*$V236</f>
        <v>0</v>
      </c>
      <c r="AM236" s="1">
        <f t="shared" ref="AM236" ca="1" si="381">E236-SUM(AE236:AL236)</f>
        <v>269497.23778730078</v>
      </c>
      <c r="AO236" s="1">
        <f t="shared" ca="1" si="375"/>
        <v>7245.5117081291419</v>
      </c>
      <c r="AP236" s="1">
        <f t="shared" ca="1" si="376"/>
        <v>1111.2505045700532</v>
      </c>
      <c r="AQ236" s="1">
        <f t="shared" ca="1" si="377"/>
        <v>277854</v>
      </c>
      <c r="AR236" s="72"/>
    </row>
    <row r="237" spans="1:44" x14ac:dyDescent="0.45">
      <c r="A237" s="147">
        <f t="shared" si="315"/>
        <v>229</v>
      </c>
      <c r="B237" s="34"/>
      <c r="C237" s="34" t="s">
        <v>415</v>
      </c>
      <c r="D237" s="34" t="s">
        <v>416</v>
      </c>
      <c r="E237" s="25">
        <f>2209643-E238</f>
        <v>8.9999999850988388E-2</v>
      </c>
      <c r="F237" s="8">
        <v>101</v>
      </c>
      <c r="G237" s="1">
        <f>VLOOKUP($F237,AF!$B$39:$M$80,G$9)*$E237</f>
        <v>0</v>
      </c>
      <c r="H237" s="1">
        <f>VLOOKUP($F237,AF!$B$39:$M$80,H$9)*$E237</f>
        <v>0</v>
      </c>
      <c r="I237" s="1">
        <f>VLOOKUP($F237,AF!$B$39:$M$80,I$9)*$E237</f>
        <v>0</v>
      </c>
      <c r="J237" s="1">
        <f>VLOOKUP($F237,AF!$B$39:$M$80,J$9)*$E237</f>
        <v>0</v>
      </c>
      <c r="K237" s="1">
        <f t="shared" ref="K237" si="382">E237-SUM(G237:J237)</f>
        <v>8.9999999850988388E-2</v>
      </c>
      <c r="L237" s="72">
        <f t="shared" si="368"/>
        <v>0</v>
      </c>
      <c r="N237" s="8">
        <v>206</v>
      </c>
      <c r="O237" s="1">
        <f>VLOOKUP($N237,AF!$B$39:$M$80,O$9)*$G237</f>
        <v>0</v>
      </c>
      <c r="P237" s="1">
        <f>VLOOKUP($N237,AF!$B$39:$M$80,P$9)*$G237</f>
        <v>0</v>
      </c>
      <c r="Q237" s="1">
        <f>VLOOKUP($N237,AF!$B$39:$M$80,Q$9)*$H237</f>
        <v>0</v>
      </c>
      <c r="R237" s="1">
        <f>VLOOKUP($N237,AF!$B$39:$M$80,R$9)*$H237</f>
        <v>0</v>
      </c>
      <c r="S237" s="1">
        <f>VLOOKUP($N237,AF!$B$39:$M$80,S$9)*$I237</f>
        <v>0</v>
      </c>
      <c r="T237" s="1">
        <f>VLOOKUP($N237,AF!$B$39:$M$80,T$9)*$I237</f>
        <v>0</v>
      </c>
      <c r="U237" s="1">
        <f>VLOOKUP($N237,AF!$B$39:$M$80,U$9)*$J237</f>
        <v>0</v>
      </c>
      <c r="V237" s="1">
        <f>VLOOKUP($N237,AF!$B$39:$M$80,V$9)*$J237</f>
        <v>0</v>
      </c>
      <c r="W237" s="1">
        <f t="shared" si="369"/>
        <v>8.9999999850988388E-2</v>
      </c>
      <c r="Y237" s="1">
        <f t="shared" si="370"/>
        <v>0</v>
      </c>
      <c r="Z237" s="1">
        <f t="shared" si="371"/>
        <v>0</v>
      </c>
      <c r="AA237" s="1">
        <f t="shared" si="372"/>
        <v>8.9999999850988388E-2</v>
      </c>
      <c r="AB237" s="72">
        <f t="shared" si="373"/>
        <v>0</v>
      </c>
      <c r="AD237" s="72">
        <v>306</v>
      </c>
      <c r="AE237" s="1">
        <f>VLOOKUP($AD237,AF!$B$39:$M$80,AE$9)*$O237</f>
        <v>0</v>
      </c>
      <c r="AF237" s="1">
        <f>VLOOKUP($AD237,AF!$B$39:$M$80,AF$9)*$P237</f>
        <v>0</v>
      </c>
      <c r="AG237" s="1">
        <f>VLOOKUP($AD237,AF!$B$39:$M$80,AG$9)*$Q237</f>
        <v>0</v>
      </c>
      <c r="AH237" s="1">
        <f>VLOOKUP($AD237,AF!$B$39:$M$80,AH$9)*$R237</f>
        <v>0</v>
      </c>
      <c r="AI237" s="1">
        <f>VLOOKUP($AD237,AF!$B$39:$M$80,AI$9)*$S237</f>
        <v>0</v>
      </c>
      <c r="AJ237" s="1">
        <f>VLOOKUP($AD237,AF!$B$39:$M$80,AJ$9)*$T237</f>
        <v>0</v>
      </c>
      <c r="AK237" s="1">
        <f>VLOOKUP($AD237,AF!$B$39:$M$80,AK$9)*$U237</f>
        <v>0</v>
      </c>
      <c r="AL237" s="1">
        <f>VLOOKUP($AD237,AF!$B$39:$M$80,AL$9)*$V237</f>
        <v>0</v>
      </c>
      <c r="AM237" s="1">
        <f t="shared" si="374"/>
        <v>8.9999999850988388E-2</v>
      </c>
      <c r="AO237" s="1">
        <f t="shared" si="375"/>
        <v>0</v>
      </c>
      <c r="AP237" s="1">
        <f t="shared" si="376"/>
        <v>0</v>
      </c>
      <c r="AQ237" s="1">
        <f t="shared" si="377"/>
        <v>8.9999999850988388E-2</v>
      </c>
      <c r="AR237" s="72">
        <f t="shared" si="378"/>
        <v>0</v>
      </c>
    </row>
    <row r="238" spans="1:44" x14ac:dyDescent="0.45">
      <c r="A238" s="147">
        <f t="shared" si="315"/>
        <v>230</v>
      </c>
      <c r="B238" s="34"/>
      <c r="C238" s="34" t="s">
        <v>719</v>
      </c>
      <c r="D238" s="34"/>
      <c r="E238" s="17">
        <f>SUM(G238:K238)</f>
        <v>2209642.91</v>
      </c>
      <c r="F238" s="8">
        <v>100</v>
      </c>
      <c r="G238" s="20">
        <v>148737</v>
      </c>
      <c r="H238" s="20">
        <v>297961.55</v>
      </c>
      <c r="I238" s="20">
        <v>906234.36</v>
      </c>
      <c r="J238" s="20">
        <v>0</v>
      </c>
      <c r="K238" s="20">
        <f>14443+280149+562118</f>
        <v>856710</v>
      </c>
      <c r="L238" s="72">
        <f t="shared" si="368"/>
        <v>0</v>
      </c>
      <c r="N238" s="8">
        <v>203</v>
      </c>
      <c r="O238" s="1">
        <f>VLOOKUP($N238,AF!$B$39:$M$80,O$9)*$G238</f>
        <v>34167.796866703102</v>
      </c>
      <c r="P238" s="1">
        <f>VLOOKUP($N238,AF!$B$39:$M$80,P$9)*$G238</f>
        <v>114569.20313329691</v>
      </c>
      <c r="Q238" s="1">
        <f>VLOOKUP($N238,AF!$B$39:$M$80,Q$9)*$H238</f>
        <v>297961.55</v>
      </c>
      <c r="R238" s="1">
        <f>VLOOKUP($N238,AF!$B$39:$M$80,R$9)*$H238</f>
        <v>0</v>
      </c>
      <c r="S238" s="1">
        <f>VLOOKUP($N238,AF!$B$39:$M$80,S$9)*$I238</f>
        <v>906234.36</v>
      </c>
      <c r="T238" s="1">
        <f>VLOOKUP($N238,AF!$B$39:$M$80,T$9)*$I238</f>
        <v>0</v>
      </c>
      <c r="U238" s="1">
        <f>VLOOKUP($N238,AF!$B$39:$M$80,U$9)*$J238</f>
        <v>0</v>
      </c>
      <c r="V238" s="1">
        <f>VLOOKUP($N238,AF!$B$39:$M$80,V$9)*$J238</f>
        <v>0</v>
      </c>
      <c r="W238" s="1">
        <f t="shared" si="369"/>
        <v>856710.00000000023</v>
      </c>
      <c r="Y238" s="1">
        <f t="shared" si="370"/>
        <v>1238363.706866703</v>
      </c>
      <c r="Z238" s="1">
        <f t="shared" si="371"/>
        <v>114569.20313329691</v>
      </c>
      <c r="AA238" s="1">
        <f t="shared" si="372"/>
        <v>2209642.91</v>
      </c>
      <c r="AB238" s="72">
        <f t="shared" si="373"/>
        <v>0</v>
      </c>
      <c r="AD238" s="72">
        <v>301</v>
      </c>
      <c r="AE238" s="1">
        <f>VLOOKUP($AD238,AF!$B$39:$M$80,AE$9)*$O238</f>
        <v>3092.1856164366304</v>
      </c>
      <c r="AF238" s="1">
        <f>VLOOKUP($AD238,AF!$B$39:$M$80,AF$9)*$P238</f>
        <v>10368.51288356337</v>
      </c>
      <c r="AG238" s="1">
        <f>VLOOKUP($AD238,AF!$B$39:$M$80,AG$9)*$Q238</f>
        <v>26965.520274999999</v>
      </c>
      <c r="AH238" s="1">
        <f>VLOOKUP($AD238,AF!$B$39:$M$80,AH$9)*$R238</f>
        <v>0</v>
      </c>
      <c r="AI238" s="1">
        <f>VLOOKUP($AD238,AF!$B$39:$M$80,AI$9)*$S238</f>
        <v>82014.209579999995</v>
      </c>
      <c r="AJ238" s="1">
        <f>VLOOKUP($AD238,AF!$B$39:$M$80,AJ$9)*$T238</f>
        <v>0</v>
      </c>
      <c r="AK238" s="1">
        <f>VLOOKUP($AD238,AF!$B$39:$M$80,AK$9)*$U238</f>
        <v>0</v>
      </c>
      <c r="AL238" s="1">
        <f>VLOOKUP($AD238,AF!$B$39:$M$80,AL$9)*$V238</f>
        <v>0</v>
      </c>
      <c r="AM238" s="1">
        <f t="shared" si="374"/>
        <v>2087202.4816450002</v>
      </c>
      <c r="AO238" s="1">
        <f t="shared" si="375"/>
        <v>112071.91547143663</v>
      </c>
      <c r="AP238" s="1">
        <f t="shared" si="376"/>
        <v>10368.51288356337</v>
      </c>
      <c r="AQ238" s="1">
        <f t="shared" si="377"/>
        <v>2209642.91</v>
      </c>
      <c r="AR238" s="72">
        <f t="shared" si="378"/>
        <v>0</v>
      </c>
    </row>
    <row r="239" spans="1:44" x14ac:dyDescent="0.45">
      <c r="A239" s="147">
        <f t="shared" si="315"/>
        <v>231</v>
      </c>
      <c r="B239" s="34"/>
      <c r="C239" s="34" t="s">
        <v>417</v>
      </c>
      <c r="D239" s="34" t="s">
        <v>418</v>
      </c>
      <c r="E239" s="25">
        <v>44753</v>
      </c>
      <c r="F239" s="8">
        <v>101</v>
      </c>
      <c r="G239" s="1">
        <f>VLOOKUP($F239,AF!$B$39:$M$80,G$9)*$E239</f>
        <v>0</v>
      </c>
      <c r="H239" s="1">
        <f>VLOOKUP($F239,AF!$B$39:$M$80,H$9)*$E239</f>
        <v>0</v>
      </c>
      <c r="I239" s="1">
        <f>VLOOKUP($F239,AF!$B$39:$M$80,I$9)*$E239</f>
        <v>0</v>
      </c>
      <c r="J239" s="1">
        <f>VLOOKUP($F239,AF!$B$39:$M$80,J$9)*$E239</f>
        <v>0</v>
      </c>
      <c r="K239" s="1">
        <f t="shared" ref="K239:K242" si="383">E239-SUM(G239:J239)</f>
        <v>44753</v>
      </c>
      <c r="L239" s="72">
        <f t="shared" si="368"/>
        <v>0</v>
      </c>
      <c r="N239" s="8">
        <v>206</v>
      </c>
      <c r="O239" s="1">
        <f>VLOOKUP($N239,AF!$B$39:$M$80,O$9)*$G239</f>
        <v>0</v>
      </c>
      <c r="P239" s="1">
        <f>VLOOKUP($N239,AF!$B$39:$M$80,P$9)*$G239</f>
        <v>0</v>
      </c>
      <c r="Q239" s="1">
        <f>VLOOKUP($N239,AF!$B$39:$M$80,Q$9)*$H239</f>
        <v>0</v>
      </c>
      <c r="R239" s="1">
        <f>VLOOKUP($N239,AF!$B$39:$M$80,R$9)*$H239</f>
        <v>0</v>
      </c>
      <c r="S239" s="1">
        <f>VLOOKUP($N239,AF!$B$39:$M$80,S$9)*$I239</f>
        <v>0</v>
      </c>
      <c r="T239" s="1">
        <f>VLOOKUP($N239,AF!$B$39:$M$80,T$9)*$I239</f>
        <v>0</v>
      </c>
      <c r="U239" s="1">
        <f>VLOOKUP($N239,AF!$B$39:$M$80,U$9)*$J239</f>
        <v>0</v>
      </c>
      <c r="V239" s="1">
        <f>VLOOKUP($N239,AF!$B$39:$M$80,V$9)*$J239</f>
        <v>0</v>
      </c>
      <c r="W239" s="1">
        <f t="shared" si="369"/>
        <v>44753</v>
      </c>
      <c r="Y239" s="1">
        <f t="shared" si="370"/>
        <v>0</v>
      </c>
      <c r="Z239" s="1">
        <f t="shared" si="371"/>
        <v>0</v>
      </c>
      <c r="AA239" s="1">
        <f t="shared" si="372"/>
        <v>44753</v>
      </c>
      <c r="AB239" s="72">
        <f t="shared" si="373"/>
        <v>0</v>
      </c>
      <c r="AD239" s="72">
        <v>306</v>
      </c>
      <c r="AE239" s="1">
        <f>VLOOKUP($AD239,AF!$B$39:$M$80,AE$9)*$O239</f>
        <v>0</v>
      </c>
      <c r="AF239" s="1">
        <f>VLOOKUP($AD239,AF!$B$39:$M$80,AF$9)*$P239</f>
        <v>0</v>
      </c>
      <c r="AG239" s="1">
        <f>VLOOKUP($AD239,AF!$B$39:$M$80,AG$9)*$Q239</f>
        <v>0</v>
      </c>
      <c r="AH239" s="1">
        <f>VLOOKUP($AD239,AF!$B$39:$M$80,AH$9)*$R239</f>
        <v>0</v>
      </c>
      <c r="AI239" s="1">
        <f>VLOOKUP($AD239,AF!$B$39:$M$80,AI$9)*$S239</f>
        <v>0</v>
      </c>
      <c r="AJ239" s="1">
        <f>VLOOKUP($AD239,AF!$B$39:$M$80,AJ$9)*$T239</f>
        <v>0</v>
      </c>
      <c r="AK239" s="1">
        <f>VLOOKUP($AD239,AF!$B$39:$M$80,AK$9)*$U239</f>
        <v>0</v>
      </c>
      <c r="AL239" s="1">
        <f>VLOOKUP($AD239,AF!$B$39:$M$80,AL$9)*$V239</f>
        <v>0</v>
      </c>
      <c r="AM239" s="1">
        <f t="shared" si="374"/>
        <v>44753</v>
      </c>
      <c r="AO239" s="1">
        <f t="shared" si="375"/>
        <v>0</v>
      </c>
      <c r="AP239" s="1">
        <f t="shared" si="376"/>
        <v>0</v>
      </c>
      <c r="AQ239" s="1">
        <f t="shared" si="377"/>
        <v>44753</v>
      </c>
      <c r="AR239" s="72">
        <f t="shared" si="378"/>
        <v>0</v>
      </c>
    </row>
    <row r="240" spans="1:44" x14ac:dyDescent="0.45">
      <c r="A240" s="147">
        <f t="shared" si="315"/>
        <v>232</v>
      </c>
      <c r="B240" s="34"/>
      <c r="C240" s="34" t="s">
        <v>85</v>
      </c>
      <c r="D240" s="34" t="s">
        <v>137</v>
      </c>
      <c r="E240" s="25">
        <f>3123463-E241</f>
        <v>2234605</v>
      </c>
      <c r="F240" s="8">
        <v>101</v>
      </c>
      <c r="G240" s="31">
        <f>VLOOKUP($F240,AF!$B$39:$M$80,G$9)*$E240</f>
        <v>0</v>
      </c>
      <c r="H240" s="31">
        <f>VLOOKUP($F240,AF!$B$39:$M$80,H$9)*$E240</f>
        <v>0</v>
      </c>
      <c r="I240" s="31">
        <f>VLOOKUP($F240,AF!$B$39:$M$80,I$9)*$E240</f>
        <v>0</v>
      </c>
      <c r="J240" s="31">
        <f>VLOOKUP($F240,AF!$B$39:$M$80,J$9)*$E240</f>
        <v>0</v>
      </c>
      <c r="K240" s="1">
        <f t="shared" si="383"/>
        <v>2234605</v>
      </c>
      <c r="L240" s="72">
        <f t="shared" si="368"/>
        <v>0</v>
      </c>
      <c r="N240" s="8">
        <v>206</v>
      </c>
      <c r="O240" s="1">
        <f>VLOOKUP($N240,AF!$B$39:$M$80,O$9)*$G240</f>
        <v>0</v>
      </c>
      <c r="P240" s="1">
        <f>VLOOKUP($N240,AF!$B$39:$M$80,P$9)*$G240</f>
        <v>0</v>
      </c>
      <c r="Q240" s="1">
        <f>VLOOKUP($N240,AF!$B$39:$M$80,Q$9)*$H240</f>
        <v>0</v>
      </c>
      <c r="R240" s="1">
        <f>VLOOKUP($N240,AF!$B$39:$M$80,R$9)*$H240</f>
        <v>0</v>
      </c>
      <c r="S240" s="1">
        <f>VLOOKUP($N240,AF!$B$39:$M$80,S$9)*$I240</f>
        <v>0</v>
      </c>
      <c r="T240" s="1">
        <f>VLOOKUP($N240,AF!$B$39:$M$80,T$9)*$I240</f>
        <v>0</v>
      </c>
      <c r="U240" s="1">
        <f>VLOOKUP($N240,AF!$B$39:$M$80,U$9)*$J240</f>
        <v>0</v>
      </c>
      <c r="V240" s="1">
        <f>VLOOKUP($N240,AF!$B$39:$M$80,V$9)*$J240</f>
        <v>0</v>
      </c>
      <c r="W240" s="1">
        <f t="shared" si="369"/>
        <v>2234605</v>
      </c>
      <c r="Y240" s="1">
        <f t="shared" si="370"/>
        <v>0</v>
      </c>
      <c r="Z240" s="1">
        <f t="shared" si="371"/>
        <v>0</v>
      </c>
      <c r="AA240" s="1">
        <f t="shared" si="372"/>
        <v>2234605</v>
      </c>
      <c r="AB240" s="72">
        <f t="shared" si="373"/>
        <v>0</v>
      </c>
      <c r="AD240" s="72">
        <v>306</v>
      </c>
      <c r="AE240" s="1">
        <f>VLOOKUP($AD240,AF!$B$39:$M$80,AE$9)*$O240</f>
        <v>0</v>
      </c>
      <c r="AF240" s="1">
        <f>VLOOKUP($AD240,AF!$B$39:$M$80,AF$9)*$P240</f>
        <v>0</v>
      </c>
      <c r="AG240" s="1">
        <f>VLOOKUP($AD240,AF!$B$39:$M$80,AG$9)*$Q240</f>
        <v>0</v>
      </c>
      <c r="AH240" s="1">
        <f>VLOOKUP($AD240,AF!$B$39:$M$80,AH$9)*$R240</f>
        <v>0</v>
      </c>
      <c r="AI240" s="1">
        <f>VLOOKUP($AD240,AF!$B$39:$M$80,AI$9)*$S240</f>
        <v>0</v>
      </c>
      <c r="AJ240" s="1">
        <f>VLOOKUP($AD240,AF!$B$39:$M$80,AJ$9)*$T240</f>
        <v>0</v>
      </c>
      <c r="AK240" s="1">
        <f>VLOOKUP($AD240,AF!$B$39:$M$80,AK$9)*$U240</f>
        <v>0</v>
      </c>
      <c r="AL240" s="1">
        <f>VLOOKUP($AD240,AF!$B$39:$M$80,AL$9)*$V240</f>
        <v>0</v>
      </c>
      <c r="AM240" s="1">
        <f t="shared" si="374"/>
        <v>2234605</v>
      </c>
      <c r="AO240" s="1">
        <f t="shared" si="375"/>
        <v>0</v>
      </c>
      <c r="AP240" s="1">
        <f t="shared" si="376"/>
        <v>0</v>
      </c>
      <c r="AQ240" s="1">
        <f t="shared" si="377"/>
        <v>2234605</v>
      </c>
      <c r="AR240" s="72">
        <f t="shared" si="378"/>
        <v>0</v>
      </c>
    </row>
    <row r="241" spans="1:44" x14ac:dyDescent="0.45">
      <c r="A241" s="147">
        <f t="shared" si="315"/>
        <v>233</v>
      </c>
      <c r="B241" s="34"/>
      <c r="C241" s="37" t="s">
        <v>720</v>
      </c>
      <c r="D241" s="37" t="s">
        <v>242</v>
      </c>
      <c r="E241" s="28">
        <v>888858</v>
      </c>
      <c r="F241" s="72">
        <v>106</v>
      </c>
      <c r="G241" s="31">
        <f>VLOOKUP($F241,AF!$B$39:$M$80,G$9)*$E241</f>
        <v>4062.1488671183351</v>
      </c>
      <c r="H241" s="31">
        <f>VLOOKUP($F241,AF!$B$39:$M$80,H$9)*$E241</f>
        <v>3385.1240559319463</v>
      </c>
      <c r="I241" s="31">
        <f>VLOOKUP($F241,AF!$B$39:$M$80,I$9)*$E241</f>
        <v>11509.421790168617</v>
      </c>
      <c r="J241" s="31">
        <f>VLOOKUP($F241,AF!$B$39:$M$80,J$9)*$E241</f>
        <v>0</v>
      </c>
      <c r="K241" s="31">
        <f t="shared" si="383"/>
        <v>869901.30528678105</v>
      </c>
      <c r="L241" s="72">
        <f t="shared" si="368"/>
        <v>0</v>
      </c>
      <c r="M241" s="2"/>
      <c r="N241" s="72">
        <v>204</v>
      </c>
      <c r="O241" s="31">
        <f>VLOOKUP($N241,AF!$B$39:$M$80,O$9)*$G241</f>
        <v>677.02481118638912</v>
      </c>
      <c r="P241" s="31">
        <f>VLOOKUP($N241,AF!$B$39:$M$80,P$9)*$G241</f>
        <v>3385.1240559319463</v>
      </c>
      <c r="Q241" s="31">
        <f>VLOOKUP($N241,AF!$B$39:$M$80,Q$9)*$H241</f>
        <v>3385.1240559319463</v>
      </c>
      <c r="R241" s="31">
        <f>VLOOKUP($N241,AF!$B$39:$M$80,R$9)*$H241</f>
        <v>0</v>
      </c>
      <c r="S241" s="31">
        <f>VLOOKUP($N241,AF!$B$39:$M$80,S$9)*$I241</f>
        <v>11509.421790168617</v>
      </c>
      <c r="T241" s="31">
        <f>VLOOKUP($N241,AF!$B$39:$M$80,T$9)*$I241</f>
        <v>0</v>
      </c>
      <c r="U241" s="31">
        <f>VLOOKUP($N241,AF!$B$39:$M$80,U$9)*$J241</f>
        <v>0</v>
      </c>
      <c r="V241" s="31">
        <f>VLOOKUP($N241,AF!$B$39:$M$80,V$9)*$J241</f>
        <v>0</v>
      </c>
      <c r="W241" s="31">
        <f t="shared" si="369"/>
        <v>869901.30528678105</v>
      </c>
      <c r="X241" s="2"/>
      <c r="Y241" s="31">
        <f t="shared" si="370"/>
        <v>15571.570657286953</v>
      </c>
      <c r="Z241" s="31">
        <f t="shared" si="371"/>
        <v>3385.1240559319463</v>
      </c>
      <c r="AA241" s="31">
        <f t="shared" si="372"/>
        <v>888858</v>
      </c>
      <c r="AB241" s="72">
        <f t="shared" si="373"/>
        <v>0</v>
      </c>
      <c r="AD241" s="72">
        <v>306</v>
      </c>
      <c r="AE241" s="31">
        <f>VLOOKUP($AD241,AF!$B$39:$M$80,AE$9)*$O241</f>
        <v>532.59261308664293</v>
      </c>
      <c r="AF241" s="31">
        <f>VLOOKUP($AD241,AF!$B$39:$M$80,AF$9)*$P241</f>
        <v>985.66136119515158</v>
      </c>
      <c r="AG241" s="31">
        <f>VLOOKUP($AD241,AF!$B$39:$M$80,AG$9)*$Q241</f>
        <v>2076.7870143817349</v>
      </c>
      <c r="AH241" s="31">
        <f>VLOOKUP($AD241,AF!$B$39:$M$80,AH$9)*$R241</f>
        <v>0</v>
      </c>
      <c r="AI241" s="31">
        <f>VLOOKUP($AD241,AF!$B$39:$M$80,AI$9)*$S241</f>
        <v>3595.9297890167618</v>
      </c>
      <c r="AJ241" s="31">
        <f>VLOOKUP($AD241,AF!$B$39:$M$80,AJ$9)*$T241</f>
        <v>0</v>
      </c>
      <c r="AK241" s="31">
        <f>VLOOKUP($AD241,AF!$B$39:$M$80,AK$9)*$U241</f>
        <v>0</v>
      </c>
      <c r="AL241" s="31">
        <f>VLOOKUP($AD241,AF!$B$39:$M$80,AL$9)*$V241</f>
        <v>0</v>
      </c>
      <c r="AM241" s="31">
        <f t="shared" si="374"/>
        <v>881667.02922231972</v>
      </c>
      <c r="AO241" s="31">
        <f t="shared" si="375"/>
        <v>6205.3094164851391</v>
      </c>
      <c r="AP241" s="31">
        <f t="shared" si="376"/>
        <v>985.66136119515158</v>
      </c>
      <c r="AQ241" s="31">
        <f t="shared" si="377"/>
        <v>888858</v>
      </c>
      <c r="AR241" s="72">
        <f t="shared" si="378"/>
        <v>0</v>
      </c>
    </row>
    <row r="242" spans="1:44" x14ac:dyDescent="0.45">
      <c r="A242" s="147">
        <f t="shared" si="315"/>
        <v>234</v>
      </c>
      <c r="B242" s="34"/>
      <c r="C242" s="34" t="s">
        <v>778</v>
      </c>
      <c r="D242" s="34" t="s">
        <v>848</v>
      </c>
      <c r="E242" s="28">
        <v>119946</v>
      </c>
      <c r="F242" s="8">
        <v>100</v>
      </c>
      <c r="G242" s="163">
        <v>42921.24</v>
      </c>
      <c r="H242" s="163">
        <v>21279.65</v>
      </c>
      <c r="I242" s="163">
        <f>VLOOKUP($F242,AF!$B$39:$M$80,I$9)*$E242</f>
        <v>0</v>
      </c>
      <c r="J242" s="163">
        <f>VLOOKUP($F242,AF!$B$39:$M$80,J$9)*$E242</f>
        <v>0</v>
      </c>
      <c r="K242" s="163">
        <f t="shared" si="383"/>
        <v>55745.11</v>
      </c>
      <c r="L242" s="72"/>
      <c r="N242" s="8">
        <v>204</v>
      </c>
      <c r="O242" s="31">
        <f>VLOOKUP($N242,AF!$B$39:$M$80,O$9)*$G242</f>
        <v>7153.5399999999991</v>
      </c>
      <c r="P242" s="31">
        <f>VLOOKUP($N242,AF!$B$39:$M$80,P$9)*$G242</f>
        <v>35767.699999999997</v>
      </c>
      <c r="Q242" s="31">
        <f>VLOOKUP($N242,AF!$B$39:$M$80,Q$9)*$H242</f>
        <v>21279.65</v>
      </c>
      <c r="R242" s="31">
        <f>VLOOKUP($N242,AF!$B$39:$M$80,R$9)*$H242</f>
        <v>0</v>
      </c>
      <c r="S242" s="31">
        <f>VLOOKUP($N242,AF!$B$39:$M$80,S$9)*$I242</f>
        <v>0</v>
      </c>
      <c r="T242" s="31">
        <f>VLOOKUP($N242,AF!$B$39:$M$80,T$9)*$I242</f>
        <v>0</v>
      </c>
      <c r="U242" s="31">
        <f>VLOOKUP($N242,AF!$B$39:$M$80,U$9)*$J242</f>
        <v>0</v>
      </c>
      <c r="V242" s="31">
        <f>VLOOKUP($N242,AF!$B$39:$M$80,V$9)*$J242</f>
        <v>0</v>
      </c>
      <c r="W242" s="31">
        <f t="shared" ref="W242:W243" si="384">E242-SUM(O242:V242)</f>
        <v>55745.11</v>
      </c>
      <c r="Y242" s="31">
        <f t="shared" ref="Y242:Y243" si="385">+O242+Q242+S242+U242</f>
        <v>28433.190000000002</v>
      </c>
      <c r="Z242" s="31">
        <f t="shared" ref="Z242:Z243" si="386">+P242+R242+T242+V242</f>
        <v>35767.699999999997</v>
      </c>
      <c r="AA242" s="31">
        <f t="shared" ref="AA242:AA243" si="387">+Z242+Y242+W242</f>
        <v>119946</v>
      </c>
      <c r="AB242" s="72"/>
      <c r="AD242" s="72">
        <v>306</v>
      </c>
      <c r="AE242" s="31">
        <f>VLOOKUP($AD242,AF!$B$39:$M$80,AE$9)*$O242</f>
        <v>5627.4489479100166</v>
      </c>
      <c r="AF242" s="31">
        <f>VLOOKUP($AD242,AF!$B$39:$M$80,AF$9)*$P242</f>
        <v>10414.6374804317</v>
      </c>
      <c r="AG242" s="31">
        <f>VLOOKUP($AD242,AF!$B$39:$M$80,AG$9)*$Q242</f>
        <v>13055.149548550768</v>
      </c>
      <c r="AH242" s="31">
        <f>VLOOKUP($AD242,AF!$B$39:$M$80,AH$9)*$R242</f>
        <v>0</v>
      </c>
      <c r="AI242" s="31">
        <f>VLOOKUP($AD242,AF!$B$39:$M$80,AI$9)*$S242</f>
        <v>0</v>
      </c>
      <c r="AJ242" s="31">
        <f>VLOOKUP($AD242,AF!$B$39:$M$80,AJ$9)*$T242</f>
        <v>0</v>
      </c>
      <c r="AK242" s="31">
        <f>VLOOKUP($AD242,AF!$B$39:$M$80,AK$9)*$U242</f>
        <v>0</v>
      </c>
      <c r="AL242" s="31">
        <f>VLOOKUP($AD242,AF!$B$39:$M$80,AL$9)*$V242</f>
        <v>0</v>
      </c>
      <c r="AM242" s="31">
        <f t="shared" ref="AM242:AM243" si="388">E242-SUM(AE242:AL242)</f>
        <v>90848.764023107506</v>
      </c>
      <c r="AO242" s="31">
        <f t="shared" ref="AO242:AO243" si="389">+AE242+AG242+AI242+AK242</f>
        <v>18682.598496460785</v>
      </c>
      <c r="AP242" s="31">
        <f t="shared" ref="AP242:AP243" si="390">+AF242+AH242+AJ242+AL242</f>
        <v>10414.6374804317</v>
      </c>
      <c r="AQ242" s="31">
        <f t="shared" ref="AQ242:AQ243" si="391">+AP242+AO242+AM242</f>
        <v>119946</v>
      </c>
      <c r="AR242" s="72">
        <f t="shared" si="378"/>
        <v>0</v>
      </c>
    </row>
    <row r="243" spans="1:44" x14ac:dyDescent="0.45">
      <c r="A243" s="147">
        <f t="shared" si="315"/>
        <v>235</v>
      </c>
      <c r="B243" s="34"/>
      <c r="C243" s="34" t="s">
        <v>779</v>
      </c>
      <c r="D243" s="34" t="s">
        <v>849</v>
      </c>
      <c r="E243" s="26">
        <v>-28454</v>
      </c>
      <c r="F243" s="8">
        <v>100</v>
      </c>
      <c r="G243" s="165">
        <v>0</v>
      </c>
      <c r="H243" s="165">
        <v>0</v>
      </c>
      <c r="I243" s="165">
        <v>-28454</v>
      </c>
      <c r="J243" s="165">
        <f>VLOOKUP($F243,AF!$B$39:$M$80,J$9)*$E243</f>
        <v>0</v>
      </c>
      <c r="K243" s="165">
        <v>0</v>
      </c>
      <c r="L243" s="72"/>
      <c r="N243" s="8">
        <v>204</v>
      </c>
      <c r="O243" s="133">
        <f>VLOOKUP($N243,AF!$B$39:$M$80,O$9)*$G243</f>
        <v>0</v>
      </c>
      <c r="P243" s="133">
        <f>VLOOKUP($N243,AF!$B$39:$M$80,P$9)*$G243</f>
        <v>0</v>
      </c>
      <c r="Q243" s="133">
        <f>VLOOKUP($N243,AF!$B$39:$M$80,Q$9)*$H243</f>
        <v>0</v>
      </c>
      <c r="R243" s="133">
        <f>VLOOKUP($N243,AF!$B$39:$M$80,R$9)*$H243</f>
        <v>0</v>
      </c>
      <c r="S243" s="133">
        <f>VLOOKUP($N243,AF!$B$39:$M$80,S$9)*$I243</f>
        <v>-28454</v>
      </c>
      <c r="T243" s="133">
        <f>VLOOKUP($N243,AF!$B$39:$M$80,T$9)*$I243</f>
        <v>0</v>
      </c>
      <c r="U243" s="133">
        <f>VLOOKUP($N243,AF!$B$39:$M$80,U$9)*$J243</f>
        <v>0</v>
      </c>
      <c r="V243" s="133">
        <f>VLOOKUP($N243,AF!$B$39:$M$80,V$9)*$J243</f>
        <v>0</v>
      </c>
      <c r="W243" s="133">
        <f t="shared" si="384"/>
        <v>0</v>
      </c>
      <c r="Y243" s="133">
        <f t="shared" si="385"/>
        <v>-28454</v>
      </c>
      <c r="Z243" s="133">
        <f t="shared" si="386"/>
        <v>0</v>
      </c>
      <c r="AA243" s="133">
        <f t="shared" si="387"/>
        <v>-28454</v>
      </c>
      <c r="AB243" s="72"/>
      <c r="AD243" s="72">
        <v>306</v>
      </c>
      <c r="AE243" s="133">
        <f>VLOOKUP($AD243,AF!$B$39:$M$80,AE$9)*$O243</f>
        <v>0</v>
      </c>
      <c r="AF243" s="133">
        <f>VLOOKUP($AD243,AF!$B$39:$M$80,AF$9)*$P243</f>
        <v>0</v>
      </c>
      <c r="AG243" s="133">
        <f>VLOOKUP($AD243,AF!$B$39:$M$80,AG$9)*$Q243</f>
        <v>0</v>
      </c>
      <c r="AH243" s="133">
        <f>VLOOKUP($AD243,AF!$B$39:$M$80,AH$9)*$R243</f>
        <v>0</v>
      </c>
      <c r="AI243" s="133">
        <f>VLOOKUP($AD243,AF!$B$39:$M$80,AI$9)*$S243</f>
        <v>-8889.9849255749577</v>
      </c>
      <c r="AJ243" s="133">
        <f>VLOOKUP($AD243,AF!$B$39:$M$80,AJ$9)*$T243</f>
        <v>0</v>
      </c>
      <c r="AK243" s="133">
        <f>VLOOKUP($AD243,AF!$B$39:$M$80,AK$9)*$U243</f>
        <v>0</v>
      </c>
      <c r="AL243" s="133">
        <f>VLOOKUP($AD243,AF!$B$39:$M$80,AL$9)*$V243</f>
        <v>0</v>
      </c>
      <c r="AM243" s="133">
        <f t="shared" si="388"/>
        <v>-19564.015074425042</v>
      </c>
      <c r="AO243" s="133">
        <f t="shared" si="389"/>
        <v>-8889.9849255749577</v>
      </c>
      <c r="AP243" s="133">
        <f t="shared" si="390"/>
        <v>0</v>
      </c>
      <c r="AQ243" s="133">
        <f t="shared" si="391"/>
        <v>-28454</v>
      </c>
      <c r="AR243" s="72">
        <f t="shared" si="378"/>
        <v>0</v>
      </c>
    </row>
    <row r="244" spans="1:44" x14ac:dyDescent="0.45">
      <c r="A244" s="147">
        <f t="shared" si="315"/>
        <v>236</v>
      </c>
      <c r="B244" s="34"/>
      <c r="C244" s="34" t="s">
        <v>0</v>
      </c>
      <c r="D244" s="34"/>
      <c r="E244" s="1">
        <f>SUM(E231:E243)</f>
        <v>39206895</v>
      </c>
      <c r="F244" s="8"/>
      <c r="G244" s="1">
        <f t="shared" ref="G244:K244" si="392">SUM(G231:G243)</f>
        <v>346387.2484659722</v>
      </c>
      <c r="H244" s="1">
        <f t="shared" si="392"/>
        <v>727617.0403883101</v>
      </c>
      <c r="I244" s="1">
        <f>SUM(I231:I243)</f>
        <v>1226478.2173202545</v>
      </c>
      <c r="J244" s="1">
        <f t="shared" si="392"/>
        <v>0</v>
      </c>
      <c r="K244" s="1">
        <f t="shared" si="392"/>
        <v>36906412.493825465</v>
      </c>
      <c r="L244" s="72">
        <f t="shared" si="368"/>
        <v>0</v>
      </c>
      <c r="N244" s="8"/>
      <c r="O244" s="1">
        <f>SUM(O231:O243)</f>
        <v>155709.73754517036</v>
      </c>
      <c r="P244" s="1">
        <f>SUM(P231:P243)</f>
        <v>190677.51092080184</v>
      </c>
      <c r="Q244" s="1">
        <f>SUM(Q231:Q243)</f>
        <v>727617.0403883101</v>
      </c>
      <c r="R244" s="1">
        <f t="shared" ref="R244:W244" si="393">SUM(R231:R243)</f>
        <v>0</v>
      </c>
      <c r="S244" s="1">
        <f t="shared" si="393"/>
        <v>1226478.2173202545</v>
      </c>
      <c r="T244" s="1">
        <f t="shared" si="393"/>
        <v>0</v>
      </c>
      <c r="U244" s="1">
        <f t="shared" si="393"/>
        <v>0</v>
      </c>
      <c r="V244" s="1">
        <f t="shared" si="393"/>
        <v>0</v>
      </c>
      <c r="W244" s="1">
        <f t="shared" si="393"/>
        <v>36906412.493825465</v>
      </c>
      <c r="Y244" s="1">
        <f t="shared" ref="Y244:AA244" si="394">SUM(Y231:Y243)</f>
        <v>2109804.9952537348</v>
      </c>
      <c r="Z244" s="1">
        <f t="shared" si="394"/>
        <v>190677.51092080184</v>
      </c>
      <c r="AA244" s="1">
        <f t="shared" si="394"/>
        <v>39206895</v>
      </c>
      <c r="AB244" s="72">
        <f t="shared" si="373"/>
        <v>0</v>
      </c>
      <c r="AD244" s="8"/>
      <c r="AE244" s="1">
        <f t="shared" ref="AE244:AM244" ca="1" si="395">SUM(AE231:AE243)</f>
        <v>122793.33917111957</v>
      </c>
      <c r="AF244" s="1">
        <f t="shared" ca="1" si="395"/>
        <v>55854.829628955056</v>
      </c>
      <c r="AG244" s="1">
        <f t="shared" ca="1" si="395"/>
        <v>445544.46167409222</v>
      </c>
      <c r="AH244" s="1">
        <f t="shared" ca="1" si="395"/>
        <v>0</v>
      </c>
      <c r="AI244" s="1">
        <f t="shared" ca="1" si="395"/>
        <v>404556.78192253021</v>
      </c>
      <c r="AJ244" s="1">
        <f t="shared" ca="1" si="395"/>
        <v>0</v>
      </c>
      <c r="AK244" s="1">
        <f t="shared" ca="1" si="395"/>
        <v>0</v>
      </c>
      <c r="AL244" s="1">
        <f t="shared" ca="1" si="395"/>
        <v>0</v>
      </c>
      <c r="AM244" s="1">
        <f t="shared" ca="1" si="395"/>
        <v>38178145.587603308</v>
      </c>
      <c r="AO244" s="1">
        <f t="shared" ref="AO244:AQ244" ca="1" si="396">SUM(AO231:AO243)</f>
        <v>972894.58276774199</v>
      </c>
      <c r="AP244" s="1">
        <f t="shared" ca="1" si="396"/>
        <v>55854.829628955056</v>
      </c>
      <c r="AQ244" s="1">
        <f t="shared" ca="1" si="396"/>
        <v>39206895</v>
      </c>
      <c r="AR244" s="72">
        <f t="shared" ca="1" si="378"/>
        <v>0</v>
      </c>
    </row>
    <row r="245" spans="1:44" x14ac:dyDescent="0.45">
      <c r="A245" s="147">
        <f t="shared" si="315"/>
        <v>237</v>
      </c>
      <c r="B245" s="34"/>
      <c r="C245" s="34"/>
      <c r="D245" s="34"/>
      <c r="E245" s="34"/>
      <c r="F245" s="74"/>
      <c r="G245" s="88"/>
      <c r="H245" s="88"/>
      <c r="I245" s="88"/>
      <c r="J245" s="88"/>
      <c r="K245" s="88"/>
      <c r="L245" s="74"/>
      <c r="N245" s="74"/>
      <c r="O245" s="88"/>
      <c r="P245" s="88"/>
      <c r="Q245" s="88"/>
      <c r="R245" s="88"/>
      <c r="S245" s="88"/>
      <c r="T245" s="88"/>
      <c r="U245" s="88"/>
      <c r="V245" s="88"/>
      <c r="W245" s="88"/>
      <c r="Y245" s="88"/>
      <c r="Z245" s="88"/>
      <c r="AA245" s="88"/>
      <c r="AB245" s="74"/>
      <c r="AD245" s="74"/>
      <c r="AE245" s="88"/>
      <c r="AF245" s="88"/>
      <c r="AG245" s="88"/>
      <c r="AH245" s="88"/>
      <c r="AI245" s="88"/>
      <c r="AJ245" s="88"/>
      <c r="AK245" s="88"/>
      <c r="AL245" s="88"/>
      <c r="AM245" s="88"/>
      <c r="AO245" s="88"/>
      <c r="AP245" s="88"/>
      <c r="AQ245" s="88"/>
      <c r="AR245" s="74"/>
    </row>
    <row r="246" spans="1:44" x14ac:dyDescent="0.45">
      <c r="A246" s="147">
        <f t="shared" si="315"/>
        <v>238</v>
      </c>
      <c r="B246" s="35" t="s">
        <v>138</v>
      </c>
      <c r="C246" s="35"/>
      <c r="D246" s="34"/>
      <c r="E246" s="34"/>
      <c r="F246" s="74"/>
      <c r="G246" s="88"/>
      <c r="H246" s="88"/>
      <c r="I246" s="88"/>
      <c r="J246" s="88"/>
      <c r="K246" s="88"/>
      <c r="L246" s="74"/>
      <c r="N246" s="74"/>
      <c r="O246" s="88"/>
      <c r="P246" s="88"/>
      <c r="Q246" s="88"/>
      <c r="R246" s="88"/>
      <c r="S246" s="88"/>
      <c r="T246" s="88"/>
      <c r="U246" s="88"/>
      <c r="V246" s="88"/>
      <c r="W246" s="88"/>
      <c r="Y246" s="88"/>
      <c r="Z246" s="88"/>
      <c r="AA246" s="88"/>
      <c r="AB246" s="74"/>
      <c r="AD246" s="74"/>
      <c r="AE246" s="88"/>
      <c r="AF246" s="88"/>
      <c r="AG246" s="88"/>
      <c r="AH246" s="88"/>
      <c r="AI246" s="88"/>
      <c r="AJ246" s="88"/>
      <c r="AK246" s="88"/>
      <c r="AL246" s="88"/>
      <c r="AM246" s="88"/>
      <c r="AO246" s="88"/>
      <c r="AP246" s="88"/>
      <c r="AQ246" s="88"/>
      <c r="AR246" s="74"/>
    </row>
    <row r="247" spans="1:44" x14ac:dyDescent="0.45">
      <c r="A247" s="147">
        <f t="shared" si="315"/>
        <v>239</v>
      </c>
      <c r="B247" s="34"/>
      <c r="C247" s="37" t="s">
        <v>721</v>
      </c>
      <c r="D247" s="34" t="s">
        <v>242</v>
      </c>
      <c r="E247" s="17">
        <f>SUM(G247:K247)</f>
        <v>1038785</v>
      </c>
      <c r="F247" s="72">
        <v>100</v>
      </c>
      <c r="G247" s="25">
        <v>92065</v>
      </c>
      <c r="H247" s="27">
        <v>26706</v>
      </c>
      <c r="I247" s="25">
        <v>710089</v>
      </c>
      <c r="J247" s="25">
        <v>0</v>
      </c>
      <c r="K247" s="25">
        <v>209925</v>
      </c>
      <c r="L247" s="72">
        <f>$E247-SUM(G247:K247)</f>
        <v>0</v>
      </c>
      <c r="N247" s="8">
        <v>205</v>
      </c>
      <c r="O247" s="1">
        <f>VLOOKUP($N247,AF!$B$39:$M$80,O$9)*$G247</f>
        <v>45802.38750240596</v>
      </c>
      <c r="P247" s="1">
        <f>VLOOKUP($N247,AF!$B$39:$M$80,P$9)*$G247</f>
        <v>46262.61249759404</v>
      </c>
      <c r="Q247" s="1">
        <f>VLOOKUP($N247,AF!$B$39:$M$80,Q$9)*$H247</f>
        <v>26706</v>
      </c>
      <c r="R247" s="1">
        <f>VLOOKUP($N247,AF!$B$39:$M$80,R$9)*$H247</f>
        <v>0</v>
      </c>
      <c r="S247" s="1">
        <f>VLOOKUP($N247,AF!$B$39:$M$80,S$9)*$I247</f>
        <v>710089</v>
      </c>
      <c r="T247" s="1">
        <f>VLOOKUP($N247,AF!$B$39:$M$80,T$9)*$I247</f>
        <v>0</v>
      </c>
      <c r="U247" s="1">
        <f>VLOOKUP($N247,AF!$B$39:$M$80,U$9)*$J247</f>
        <v>0</v>
      </c>
      <c r="V247" s="1">
        <f>VLOOKUP($N247,AF!$B$39:$M$80,V$9)*$J247</f>
        <v>0</v>
      </c>
      <c r="W247" s="1">
        <f t="shared" ref="W247:W250" si="397">E247-SUM(O247:V247)</f>
        <v>209925</v>
      </c>
      <c r="Y247" s="1">
        <f t="shared" ref="Y247:Z250" si="398">+O247+Q247+S247+U247</f>
        <v>782597.38750240603</v>
      </c>
      <c r="Z247" s="1">
        <f t="shared" si="398"/>
        <v>46262.61249759404</v>
      </c>
      <c r="AA247" s="1">
        <f t="shared" ref="AA247:AA250" si="399">+Z247+Y247+W247</f>
        <v>1038785.0000000001</v>
      </c>
      <c r="AB247" s="72">
        <f t="shared" ref="AB247:AB251" si="400">$E247-AA247</f>
        <v>0</v>
      </c>
      <c r="AD247" s="72">
        <v>305</v>
      </c>
      <c r="AE247" s="1">
        <f ca="1">VLOOKUP($AD247,AF!$B$39:$M$80,AE$9)*$O247</f>
        <v>36007.050099677181</v>
      </c>
      <c r="AF247" s="1">
        <f ca="1">VLOOKUP($AD247,AF!$B$39:$M$80,AF$9)*$P247</f>
        <v>12914.598074353722</v>
      </c>
      <c r="AG247" s="1">
        <f ca="1">VLOOKUP($AD247,AF!$B$39:$M$80,AG$9)*$Q247</f>
        <v>16349.482284159025</v>
      </c>
      <c r="AH247" s="1">
        <f ca="1">VLOOKUP($AD247,AF!$B$39:$M$80,AH$9)*$R247</f>
        <v>0</v>
      </c>
      <c r="AI247" s="1">
        <f ca="1">VLOOKUP($AD247,AF!$B$39:$M$80,AI$9)*$S247</f>
        <v>219443.0463979269</v>
      </c>
      <c r="AJ247" s="1">
        <f ca="1">VLOOKUP($AD247,AF!$B$39:$M$80,AJ$9)*$T247</f>
        <v>0</v>
      </c>
      <c r="AK247" s="1">
        <f ca="1">VLOOKUP($AD247,AF!$B$39:$M$80,AK$9)*$U247</f>
        <v>0</v>
      </c>
      <c r="AL247" s="1">
        <f ca="1">VLOOKUP($AD247,AF!$B$39:$M$80,AL$9)*$V247</f>
        <v>0</v>
      </c>
      <c r="AM247" s="1">
        <f t="shared" ref="AM247:AM250" ca="1" si="401">E247-SUM(AE247:AL247)</f>
        <v>754070.82314388314</v>
      </c>
      <c r="AO247" s="1">
        <f t="shared" ref="AO247:AP250" ca="1" si="402">+AE247+AG247+AI247+AK247</f>
        <v>271799.57878176309</v>
      </c>
      <c r="AP247" s="1">
        <f t="shared" ca="1" si="402"/>
        <v>12914.598074353722</v>
      </c>
      <c r="AQ247" s="1">
        <f t="shared" ref="AQ247:AQ250" ca="1" si="403">+AP247+AO247+AM247</f>
        <v>1038785</v>
      </c>
      <c r="AR247" s="72">
        <f t="shared" ref="AR247:AR251" ca="1" si="404">$E247-AQ247</f>
        <v>0</v>
      </c>
    </row>
    <row r="248" spans="1:44" x14ac:dyDescent="0.45">
      <c r="A248" s="147">
        <f t="shared" si="315"/>
        <v>240</v>
      </c>
      <c r="B248" s="34"/>
      <c r="C248" s="37" t="s">
        <v>725</v>
      </c>
      <c r="D248" s="34" t="s">
        <v>242</v>
      </c>
      <c r="E248" s="28">
        <v>0</v>
      </c>
      <c r="F248" s="8">
        <v>106</v>
      </c>
      <c r="G248" s="1">
        <f>VLOOKUP($F248,AF!$B$39:$M$80,G$9)*$E248</f>
        <v>0</v>
      </c>
      <c r="H248" s="1">
        <f>VLOOKUP($F248,AF!$B$39:$M$80,H$9)*$E248</f>
        <v>0</v>
      </c>
      <c r="I248" s="1">
        <f>VLOOKUP($F248,AF!$B$39:$M$80,I$9)*$E248</f>
        <v>0</v>
      </c>
      <c r="J248" s="1">
        <f>VLOOKUP($F248,AF!$B$39:$M$80,J$9)*$E248</f>
        <v>0</v>
      </c>
      <c r="K248" s="1">
        <f t="shared" ref="K248:K250" si="405">E248-SUM(G248:J248)</f>
        <v>0</v>
      </c>
      <c r="L248" s="72">
        <f>$E248-SUM(G248:K248)</f>
        <v>0</v>
      </c>
      <c r="N248" s="8">
        <v>204</v>
      </c>
      <c r="O248" s="1">
        <f>VLOOKUP($N248,AF!$B$39:$M$80,O$9)*$G248</f>
        <v>0</v>
      </c>
      <c r="P248" s="1">
        <f>VLOOKUP($N248,AF!$B$39:$M$80,P$9)*$G248</f>
        <v>0</v>
      </c>
      <c r="Q248" s="1">
        <f>VLOOKUP($N248,AF!$B$39:$M$80,Q$9)*$H248</f>
        <v>0</v>
      </c>
      <c r="R248" s="1">
        <f>VLOOKUP($N248,AF!$B$39:$M$80,R$9)*$H248</f>
        <v>0</v>
      </c>
      <c r="S248" s="1">
        <f>VLOOKUP($N248,AF!$B$39:$M$80,S$9)*$I248</f>
        <v>0</v>
      </c>
      <c r="T248" s="1">
        <f>VLOOKUP($N248,AF!$B$39:$M$80,T$9)*$I248</f>
        <v>0</v>
      </c>
      <c r="U248" s="1">
        <f>VLOOKUP($N248,AF!$B$39:$M$80,U$9)*$J248</f>
        <v>0</v>
      </c>
      <c r="V248" s="1">
        <f>VLOOKUP($N248,AF!$B$39:$M$80,V$9)*$J248</f>
        <v>0</v>
      </c>
      <c r="W248" s="1">
        <f t="shared" si="397"/>
        <v>0</v>
      </c>
      <c r="Y248" s="1">
        <f t="shared" si="398"/>
        <v>0</v>
      </c>
      <c r="Z248" s="1">
        <f t="shared" si="398"/>
        <v>0</v>
      </c>
      <c r="AA248" s="1">
        <f t="shared" si="399"/>
        <v>0</v>
      </c>
      <c r="AB248" s="72">
        <f t="shared" si="400"/>
        <v>0</v>
      </c>
      <c r="AD248" s="72">
        <v>300</v>
      </c>
      <c r="AE248" s="1">
        <f>VLOOKUP($AD248,AF!$B$39:$M$80,AE$9)*$O248</f>
        <v>0</v>
      </c>
      <c r="AF248" s="1">
        <f>VLOOKUP($AD248,AF!$B$39:$M$80,AF$9)*$P248</f>
        <v>0</v>
      </c>
      <c r="AG248" s="1">
        <f>VLOOKUP($AD248,AF!$B$39:$M$80,AG$9)*$Q248</f>
        <v>0</v>
      </c>
      <c r="AH248" s="1">
        <f>VLOOKUP($AD248,AF!$B$39:$M$80,AH$9)*$R248</f>
        <v>0</v>
      </c>
      <c r="AI248" s="1">
        <f>VLOOKUP($AD248,AF!$B$39:$M$80,AI$9)*$S248</f>
        <v>0</v>
      </c>
      <c r="AJ248" s="1">
        <f>VLOOKUP($AD248,AF!$B$39:$M$80,AJ$9)*$T248</f>
        <v>0</v>
      </c>
      <c r="AK248" s="1">
        <f>VLOOKUP($AD248,AF!$B$39:$M$80,AK$9)*$U248</f>
        <v>0</v>
      </c>
      <c r="AL248" s="1">
        <f>VLOOKUP($AD248,AF!$B$39:$M$80,AL$9)*$V248</f>
        <v>0</v>
      </c>
      <c r="AM248" s="1">
        <f t="shared" si="401"/>
        <v>0</v>
      </c>
      <c r="AO248" s="1">
        <f t="shared" si="402"/>
        <v>0</v>
      </c>
      <c r="AP248" s="1">
        <f t="shared" si="402"/>
        <v>0</v>
      </c>
      <c r="AQ248" s="1">
        <f t="shared" si="403"/>
        <v>0</v>
      </c>
      <c r="AR248" s="72">
        <f t="shared" si="404"/>
        <v>0</v>
      </c>
    </row>
    <row r="249" spans="1:44" x14ac:dyDescent="0.45">
      <c r="A249" s="147">
        <f t="shared" si="315"/>
        <v>241</v>
      </c>
      <c r="B249" s="34"/>
      <c r="C249" s="37" t="s">
        <v>722</v>
      </c>
      <c r="D249" s="34" t="s">
        <v>242</v>
      </c>
      <c r="E249" s="28">
        <v>0</v>
      </c>
      <c r="F249" s="8">
        <v>102</v>
      </c>
      <c r="G249" s="1">
        <f>VLOOKUP($F249,AF!$B$39:$M$80,G$9)*$E249</f>
        <v>0</v>
      </c>
      <c r="H249" s="1">
        <f>VLOOKUP($F249,AF!$B$39:$M$80,H$9)*$E249</f>
        <v>0</v>
      </c>
      <c r="I249" s="1">
        <f>VLOOKUP($F249,AF!$B$39:$M$80,I$9)*$E249</f>
        <v>0</v>
      </c>
      <c r="J249" s="1">
        <f>VLOOKUP($F249,AF!$B$39:$M$80,J$9)*$E249</f>
        <v>0</v>
      </c>
      <c r="K249" s="1">
        <f t="shared" si="405"/>
        <v>0</v>
      </c>
      <c r="L249" s="72">
        <f>$E249-SUM(G249:K249)</f>
        <v>0</v>
      </c>
      <c r="N249" s="8">
        <v>204</v>
      </c>
      <c r="O249" s="1">
        <f>VLOOKUP($N249,AF!$B$39:$M$80,O$9)*$G249</f>
        <v>0</v>
      </c>
      <c r="P249" s="1">
        <f>VLOOKUP($N249,AF!$B$39:$M$80,P$9)*$G249</f>
        <v>0</v>
      </c>
      <c r="Q249" s="1">
        <f>VLOOKUP($N249,AF!$B$39:$M$80,Q$9)*$H249</f>
        <v>0</v>
      </c>
      <c r="R249" s="1">
        <f>VLOOKUP($N249,AF!$B$39:$M$80,R$9)*$H249</f>
        <v>0</v>
      </c>
      <c r="S249" s="1">
        <f>VLOOKUP($N249,AF!$B$39:$M$80,S$9)*$I249</f>
        <v>0</v>
      </c>
      <c r="T249" s="1">
        <f>VLOOKUP($N249,AF!$B$39:$M$80,T$9)*$I249</f>
        <v>0</v>
      </c>
      <c r="U249" s="1">
        <f>VLOOKUP($N249,AF!$B$39:$M$80,U$9)*$J249</f>
        <v>0</v>
      </c>
      <c r="V249" s="1">
        <f>VLOOKUP($N249,AF!$B$39:$M$80,V$9)*$J249</f>
        <v>0</v>
      </c>
      <c r="W249" s="1">
        <f t="shared" si="397"/>
        <v>0</v>
      </c>
      <c r="Y249" s="1">
        <f t="shared" si="398"/>
        <v>0</v>
      </c>
      <c r="Z249" s="1">
        <f t="shared" si="398"/>
        <v>0</v>
      </c>
      <c r="AA249" s="1">
        <f t="shared" si="399"/>
        <v>0</v>
      </c>
      <c r="AB249" s="72">
        <f t="shared" si="400"/>
        <v>0</v>
      </c>
      <c r="AD249" s="72">
        <v>300</v>
      </c>
      <c r="AE249" s="1">
        <f>VLOOKUP($AD249,AF!$B$39:$M$80,AE$9)*$O249</f>
        <v>0</v>
      </c>
      <c r="AF249" s="1">
        <f>VLOOKUP($AD249,AF!$B$39:$M$80,AF$9)*$P249</f>
        <v>0</v>
      </c>
      <c r="AG249" s="1">
        <f>VLOOKUP($AD249,AF!$B$39:$M$80,AG$9)*$Q249</f>
        <v>0</v>
      </c>
      <c r="AH249" s="1">
        <f>VLOOKUP($AD249,AF!$B$39:$M$80,AH$9)*$R249</f>
        <v>0</v>
      </c>
      <c r="AI249" s="1">
        <f>VLOOKUP($AD249,AF!$B$39:$M$80,AI$9)*$S249</f>
        <v>0</v>
      </c>
      <c r="AJ249" s="1">
        <f>VLOOKUP($AD249,AF!$B$39:$M$80,AJ$9)*$T249</f>
        <v>0</v>
      </c>
      <c r="AK249" s="1">
        <f>VLOOKUP($AD249,AF!$B$39:$M$80,AK$9)*$U249</f>
        <v>0</v>
      </c>
      <c r="AL249" s="1">
        <f>VLOOKUP($AD249,AF!$B$39:$M$80,AL$9)*$V249</f>
        <v>0</v>
      </c>
      <c r="AM249" s="1">
        <f t="shared" si="401"/>
        <v>0</v>
      </c>
      <c r="AO249" s="1">
        <f t="shared" si="402"/>
        <v>0</v>
      </c>
      <c r="AP249" s="1">
        <f t="shared" si="402"/>
        <v>0</v>
      </c>
      <c r="AQ249" s="1">
        <f t="shared" si="403"/>
        <v>0</v>
      </c>
      <c r="AR249" s="72">
        <f t="shared" si="404"/>
        <v>0</v>
      </c>
    </row>
    <row r="250" spans="1:44" x14ac:dyDescent="0.45">
      <c r="A250" s="147">
        <f t="shared" si="315"/>
        <v>242</v>
      </c>
      <c r="B250" s="34"/>
      <c r="C250" s="37" t="s">
        <v>723</v>
      </c>
      <c r="D250" s="34" t="s">
        <v>242</v>
      </c>
      <c r="E250" s="26">
        <f>9085867-E249-E248-E247</f>
        <v>8047082</v>
      </c>
      <c r="F250" s="8">
        <v>101</v>
      </c>
      <c r="G250" s="133">
        <f>VLOOKUP($F250,AF!$B$39:$M$80,G$9)*$E250</f>
        <v>0</v>
      </c>
      <c r="H250" s="133">
        <f>VLOOKUP($F250,AF!$B$39:$M$80,H$9)*$E250</f>
        <v>0</v>
      </c>
      <c r="I250" s="133">
        <f>VLOOKUP($F250,AF!$B$39:$M$80,I$9)*$E250</f>
        <v>0</v>
      </c>
      <c r="J250" s="133">
        <f>VLOOKUP($F250,AF!$B$39:$M$80,J$9)*$E250</f>
        <v>0</v>
      </c>
      <c r="K250" s="133">
        <f t="shared" si="405"/>
        <v>8047082</v>
      </c>
      <c r="L250" s="72">
        <f>$E250-SUM(G250:K250)</f>
        <v>0</v>
      </c>
      <c r="N250" s="8">
        <v>206</v>
      </c>
      <c r="O250" s="133">
        <f>VLOOKUP($N250,AF!$B$39:$M$80,O$9)*$G250</f>
        <v>0</v>
      </c>
      <c r="P250" s="133">
        <f>VLOOKUP($N250,AF!$B$39:$M$80,P$9)*$G250</f>
        <v>0</v>
      </c>
      <c r="Q250" s="133">
        <f>VLOOKUP($N250,AF!$B$39:$M$80,Q$9)*$H250</f>
        <v>0</v>
      </c>
      <c r="R250" s="133">
        <f>VLOOKUP($N250,AF!$B$39:$M$80,R$9)*$H250</f>
        <v>0</v>
      </c>
      <c r="S250" s="133">
        <f>VLOOKUP($N250,AF!$B$39:$M$80,S$9)*$I250</f>
        <v>0</v>
      </c>
      <c r="T250" s="133">
        <f>VLOOKUP($N250,AF!$B$39:$M$80,T$9)*$I250</f>
        <v>0</v>
      </c>
      <c r="U250" s="133">
        <f>VLOOKUP($N250,AF!$B$39:$M$80,U$9)*$J250</f>
        <v>0</v>
      </c>
      <c r="V250" s="133">
        <f>VLOOKUP($N250,AF!$B$39:$M$80,V$9)*$J250</f>
        <v>0</v>
      </c>
      <c r="W250" s="133">
        <f t="shared" si="397"/>
        <v>8047082</v>
      </c>
      <c r="Y250" s="133">
        <f t="shared" si="398"/>
        <v>0</v>
      </c>
      <c r="Z250" s="133">
        <f t="shared" si="398"/>
        <v>0</v>
      </c>
      <c r="AA250" s="133">
        <f t="shared" si="399"/>
        <v>8047082</v>
      </c>
      <c r="AB250" s="72">
        <f t="shared" si="400"/>
        <v>0</v>
      </c>
      <c r="AD250" s="72">
        <v>300</v>
      </c>
      <c r="AE250" s="133">
        <f>VLOOKUP($AD250,AF!$B$39:$M$80,AE$9)*$O250</f>
        <v>0</v>
      </c>
      <c r="AF250" s="133">
        <f>VLOOKUP($AD250,AF!$B$39:$M$80,AF$9)*$P250</f>
        <v>0</v>
      </c>
      <c r="AG250" s="133">
        <f>VLOOKUP($AD250,AF!$B$39:$M$80,AG$9)*$Q250</f>
        <v>0</v>
      </c>
      <c r="AH250" s="133">
        <f>VLOOKUP($AD250,AF!$B$39:$M$80,AH$9)*$R250</f>
        <v>0</v>
      </c>
      <c r="AI250" s="133">
        <f>VLOOKUP($AD250,AF!$B$39:$M$80,AI$9)*$S250</f>
        <v>0</v>
      </c>
      <c r="AJ250" s="133">
        <f>VLOOKUP($AD250,AF!$B$39:$M$80,AJ$9)*$T250</f>
        <v>0</v>
      </c>
      <c r="AK250" s="133">
        <f>VLOOKUP($AD250,AF!$B$39:$M$80,AK$9)*$U250</f>
        <v>0</v>
      </c>
      <c r="AL250" s="133">
        <f>VLOOKUP($AD250,AF!$B$39:$M$80,AL$9)*$V250</f>
        <v>0</v>
      </c>
      <c r="AM250" s="133">
        <f t="shared" si="401"/>
        <v>8047082</v>
      </c>
      <c r="AO250" s="133">
        <f t="shared" si="402"/>
        <v>0</v>
      </c>
      <c r="AP250" s="133">
        <f t="shared" si="402"/>
        <v>0</v>
      </c>
      <c r="AQ250" s="133">
        <f t="shared" si="403"/>
        <v>8047082</v>
      </c>
      <c r="AR250" s="72">
        <f t="shared" si="404"/>
        <v>0</v>
      </c>
    </row>
    <row r="251" spans="1:44" x14ac:dyDescent="0.45">
      <c r="A251" s="147">
        <f t="shared" si="315"/>
        <v>243</v>
      </c>
      <c r="B251" s="34"/>
      <c r="C251" s="37" t="s">
        <v>0</v>
      </c>
      <c r="D251" s="34" t="s">
        <v>139</v>
      </c>
      <c r="E251" s="36">
        <f>SUM(E247:E250)</f>
        <v>9085867</v>
      </c>
      <c r="F251" s="8"/>
      <c r="G251" s="1">
        <f t="shared" ref="G251:K251" si="406">SUM(G247:G250)</f>
        <v>92065</v>
      </c>
      <c r="H251" s="1">
        <f t="shared" si="406"/>
        <v>26706</v>
      </c>
      <c r="I251" s="1">
        <f t="shared" si="406"/>
        <v>710089</v>
      </c>
      <c r="J251" s="1">
        <f t="shared" si="406"/>
        <v>0</v>
      </c>
      <c r="K251" s="1">
        <f t="shared" si="406"/>
        <v>8257007</v>
      </c>
      <c r="L251" s="72">
        <f>$E251-SUM(G251:K251)</f>
        <v>0</v>
      </c>
      <c r="N251" s="8"/>
      <c r="O251" s="1">
        <f t="shared" ref="O251:W251" si="407">SUM(O247:O250)</f>
        <v>45802.38750240596</v>
      </c>
      <c r="P251" s="1">
        <f t="shared" si="407"/>
        <v>46262.61249759404</v>
      </c>
      <c r="Q251" s="1">
        <f t="shared" si="407"/>
        <v>26706</v>
      </c>
      <c r="R251" s="1">
        <f t="shared" si="407"/>
        <v>0</v>
      </c>
      <c r="S251" s="1">
        <f t="shared" si="407"/>
        <v>710089</v>
      </c>
      <c r="T251" s="1">
        <f t="shared" si="407"/>
        <v>0</v>
      </c>
      <c r="U251" s="1">
        <f t="shared" si="407"/>
        <v>0</v>
      </c>
      <c r="V251" s="1">
        <f t="shared" si="407"/>
        <v>0</v>
      </c>
      <c r="W251" s="1">
        <f t="shared" si="407"/>
        <v>8257007</v>
      </c>
      <c r="Y251" s="1">
        <f t="shared" ref="Y251:AA251" si="408">SUM(Y247:Y250)</f>
        <v>782597.38750240603</v>
      </c>
      <c r="Z251" s="1">
        <f t="shared" si="408"/>
        <v>46262.61249759404</v>
      </c>
      <c r="AA251" s="1">
        <f t="shared" si="408"/>
        <v>9085867</v>
      </c>
      <c r="AB251" s="72">
        <f t="shared" si="400"/>
        <v>0</v>
      </c>
      <c r="AD251" s="8"/>
      <c r="AE251" s="1">
        <f t="shared" ref="AE251:AM251" ca="1" si="409">SUM(AE247:AE250)</f>
        <v>36007.050099677181</v>
      </c>
      <c r="AF251" s="1">
        <f t="shared" ca="1" si="409"/>
        <v>12914.598074353722</v>
      </c>
      <c r="AG251" s="1">
        <f t="shared" ca="1" si="409"/>
        <v>16349.482284159025</v>
      </c>
      <c r="AH251" s="1">
        <f t="shared" ca="1" si="409"/>
        <v>0</v>
      </c>
      <c r="AI251" s="1">
        <f t="shared" ca="1" si="409"/>
        <v>219443.0463979269</v>
      </c>
      <c r="AJ251" s="1">
        <f t="shared" ca="1" si="409"/>
        <v>0</v>
      </c>
      <c r="AK251" s="1">
        <f t="shared" ca="1" si="409"/>
        <v>0</v>
      </c>
      <c r="AL251" s="1">
        <f t="shared" ca="1" si="409"/>
        <v>0</v>
      </c>
      <c r="AM251" s="1">
        <f t="shared" ca="1" si="409"/>
        <v>8801152.8231438827</v>
      </c>
      <c r="AO251" s="1">
        <f t="shared" ref="AO251:AQ251" ca="1" si="410">SUM(AO247:AO250)</f>
        <v>271799.57878176309</v>
      </c>
      <c r="AP251" s="1">
        <f t="shared" ca="1" si="410"/>
        <v>12914.598074353722</v>
      </c>
      <c r="AQ251" s="1">
        <f t="shared" ca="1" si="410"/>
        <v>9085867</v>
      </c>
      <c r="AR251" s="72">
        <f t="shared" ca="1" si="404"/>
        <v>0</v>
      </c>
    </row>
    <row r="252" spans="1:44" ht="14.65" thickBot="1" x14ac:dyDescent="0.5">
      <c r="A252" s="147">
        <f t="shared" si="315"/>
        <v>244</v>
      </c>
      <c r="B252" s="34"/>
      <c r="C252" s="34"/>
      <c r="D252" s="34"/>
      <c r="E252" s="64"/>
      <c r="F252" s="74"/>
      <c r="G252" s="64"/>
      <c r="H252" s="64"/>
      <c r="I252" s="64"/>
      <c r="J252" s="64"/>
      <c r="K252" s="64"/>
      <c r="L252" s="74"/>
      <c r="N252" s="74"/>
      <c r="O252" s="64"/>
      <c r="P252" s="64"/>
      <c r="Q252" s="64"/>
      <c r="R252" s="64"/>
      <c r="S252" s="64"/>
      <c r="T252" s="64"/>
      <c r="U252" s="64"/>
      <c r="V252" s="64"/>
      <c r="W252" s="64"/>
      <c r="Y252" s="64"/>
      <c r="Z252" s="64"/>
      <c r="AA252" s="64"/>
      <c r="AB252" s="74"/>
      <c r="AD252" s="74"/>
      <c r="AE252" s="64"/>
      <c r="AF252" s="64"/>
      <c r="AG252" s="64"/>
      <c r="AH252" s="64"/>
      <c r="AI252" s="64"/>
      <c r="AJ252" s="64"/>
      <c r="AK252" s="64"/>
      <c r="AL252" s="64"/>
      <c r="AM252" s="64"/>
      <c r="AO252" s="64"/>
      <c r="AP252" s="64"/>
      <c r="AQ252" s="64"/>
      <c r="AR252" s="74"/>
    </row>
    <row r="253" spans="1:44" ht="14.65" thickTop="1" x14ac:dyDescent="0.45">
      <c r="A253" s="147">
        <f t="shared" si="315"/>
        <v>245</v>
      </c>
      <c r="B253" s="34" t="s">
        <v>147</v>
      </c>
      <c r="C253" s="34"/>
      <c r="D253" s="34"/>
      <c r="E253" s="36">
        <f>+E228+E244+E251</f>
        <v>397444415</v>
      </c>
      <c r="F253" s="8"/>
      <c r="G253" s="1">
        <f t="shared" ref="G253:K253" si="411">+G228+G244+G251</f>
        <v>722807.80163538386</v>
      </c>
      <c r="H253" s="1">
        <f t="shared" si="411"/>
        <v>941592.31302948645</v>
      </c>
      <c r="I253" s="1">
        <f t="shared" si="411"/>
        <v>3852758.8363002543</v>
      </c>
      <c r="J253" s="1">
        <f t="shared" si="411"/>
        <v>0</v>
      </c>
      <c r="K253" s="1">
        <f t="shared" si="411"/>
        <v>391927256.04903483</v>
      </c>
      <c r="L253" s="72">
        <f>$E253-SUM(G253:K253)</f>
        <v>0</v>
      </c>
      <c r="N253" s="8"/>
      <c r="O253" s="1">
        <f t="shared" ref="O253:W253" si="412">+O228+O244+O251</f>
        <v>265938.93329179334</v>
      </c>
      <c r="P253" s="1">
        <f t="shared" si="412"/>
        <v>456868.86834359053</v>
      </c>
      <c r="Q253" s="1">
        <f t="shared" si="412"/>
        <v>941592.31302948645</v>
      </c>
      <c r="R253" s="1">
        <f t="shared" si="412"/>
        <v>0</v>
      </c>
      <c r="S253" s="1">
        <f t="shared" si="412"/>
        <v>3852758.8363002543</v>
      </c>
      <c r="T253" s="1">
        <f t="shared" si="412"/>
        <v>0</v>
      </c>
      <c r="U253" s="1">
        <f t="shared" si="412"/>
        <v>0</v>
      </c>
      <c r="V253" s="1">
        <f t="shared" si="412"/>
        <v>0</v>
      </c>
      <c r="W253" s="1">
        <f t="shared" si="412"/>
        <v>391927256.04903483</v>
      </c>
      <c r="Y253" s="1">
        <f>+Y228+Y244+Y251</f>
        <v>5060290.0826215334</v>
      </c>
      <c r="Z253" s="1">
        <f>+Z228+Z244+Z251</f>
        <v>456868.86834359053</v>
      </c>
      <c r="AA253" s="1">
        <f>+AA228+AA244+AA251</f>
        <v>397444415</v>
      </c>
      <c r="AB253" s="72">
        <f t="shared" ref="AB253" si="413">$E253-AA253</f>
        <v>0</v>
      </c>
      <c r="AD253" s="8"/>
      <c r="AE253" s="1">
        <f t="shared" ref="AE253:AM253" ca="1" si="414">+AE228+AE244+AE251</f>
        <v>193514.81796473416</v>
      </c>
      <c r="AF253" s="1">
        <f t="shared" ca="1" si="414"/>
        <v>122281.4056572694</v>
      </c>
      <c r="AG253" s="1">
        <f t="shared" ca="1" si="414"/>
        <v>585037.82676806115</v>
      </c>
      <c r="AH253" s="1">
        <f t="shared" ca="1" si="414"/>
        <v>0</v>
      </c>
      <c r="AI253" s="1">
        <f t="shared" ca="1" si="414"/>
        <v>1091108.5035855598</v>
      </c>
      <c r="AJ253" s="1">
        <f t="shared" ca="1" si="414"/>
        <v>0</v>
      </c>
      <c r="AK253" s="1">
        <f t="shared" ca="1" si="414"/>
        <v>0</v>
      </c>
      <c r="AL253" s="1">
        <f t="shared" ca="1" si="414"/>
        <v>0</v>
      </c>
      <c r="AM253" s="1">
        <f t="shared" ca="1" si="414"/>
        <v>395452472.44602436</v>
      </c>
      <c r="AO253" s="1">
        <f ca="1">+AO228+AO244+AO251</f>
        <v>1869661.148318355</v>
      </c>
      <c r="AP253" s="1">
        <f ca="1">+AP228+AP244+AP251</f>
        <v>122281.4056572694</v>
      </c>
      <c r="AQ253" s="1">
        <f ca="1">+AQ228+AQ244+AQ251</f>
        <v>397444415</v>
      </c>
      <c r="AR253" s="72">
        <f t="shared" ref="AR253" ca="1" si="415">$E253-AQ253</f>
        <v>0</v>
      </c>
    </row>
    <row r="254" spans="1:44" x14ac:dyDescent="0.45">
      <c r="A254" s="147">
        <f t="shared" si="315"/>
        <v>246</v>
      </c>
      <c r="B254" s="34"/>
      <c r="C254" s="34"/>
      <c r="D254" s="34"/>
      <c r="E254" s="36"/>
      <c r="F254" s="74"/>
      <c r="G254" s="88"/>
      <c r="H254" s="88"/>
      <c r="I254" s="88"/>
      <c r="J254" s="88"/>
      <c r="K254" s="88"/>
      <c r="L254" s="74"/>
      <c r="N254" s="74"/>
      <c r="O254" s="88"/>
      <c r="P254" s="88"/>
      <c r="Q254" s="88"/>
      <c r="R254" s="88"/>
      <c r="S254" s="88"/>
      <c r="T254" s="88"/>
      <c r="U254" s="88"/>
      <c r="V254" s="88"/>
      <c r="W254" s="88"/>
      <c r="Y254" s="88"/>
      <c r="Z254" s="88"/>
      <c r="AA254" s="88"/>
      <c r="AB254" s="74"/>
      <c r="AD254" s="74"/>
      <c r="AE254" s="88"/>
      <c r="AF254" s="88"/>
      <c r="AG254" s="88"/>
      <c r="AH254" s="88"/>
      <c r="AI254" s="88"/>
      <c r="AJ254" s="88"/>
      <c r="AK254" s="88"/>
      <c r="AL254" s="88"/>
      <c r="AM254" s="88"/>
      <c r="AO254" s="88"/>
      <c r="AP254" s="88"/>
      <c r="AQ254" s="88"/>
      <c r="AR254" s="74"/>
    </row>
    <row r="255" spans="1:44" x14ac:dyDescent="0.45">
      <c r="A255" s="147">
        <f t="shared" si="315"/>
        <v>247</v>
      </c>
      <c r="B255" s="16" t="s">
        <v>148</v>
      </c>
      <c r="C255" s="35"/>
      <c r="D255" s="34"/>
      <c r="E255" s="34"/>
      <c r="F255" s="74"/>
      <c r="G255" s="25"/>
      <c r="H255" s="25"/>
      <c r="I255" s="25"/>
      <c r="J255" s="25"/>
      <c r="K255" s="25"/>
      <c r="L255" s="74"/>
      <c r="N255" s="74"/>
      <c r="O255" s="25"/>
      <c r="P255" s="25"/>
      <c r="Q255" s="25"/>
      <c r="R255" s="25"/>
      <c r="S255" s="25"/>
      <c r="T255" s="25"/>
      <c r="U255" s="25"/>
      <c r="V255" s="25"/>
      <c r="W255" s="25"/>
      <c r="Y255" s="25"/>
      <c r="Z255" s="25"/>
      <c r="AA255" s="25"/>
      <c r="AB255" s="74"/>
      <c r="AD255" s="74"/>
      <c r="AE255" s="25"/>
      <c r="AF255" s="25"/>
      <c r="AG255" s="25"/>
      <c r="AH255" s="25"/>
      <c r="AI255" s="25"/>
      <c r="AJ255" s="25"/>
      <c r="AK255" s="25"/>
      <c r="AL255" s="25"/>
      <c r="AM255" s="25"/>
      <c r="AO255" s="25"/>
      <c r="AP255" s="25"/>
      <c r="AQ255" s="25"/>
      <c r="AR255" s="74"/>
    </row>
    <row r="256" spans="1:44" x14ac:dyDescent="0.45">
      <c r="A256" s="147">
        <f t="shared" si="315"/>
        <v>248</v>
      </c>
      <c r="B256" s="34"/>
      <c r="C256" s="34" t="s">
        <v>146</v>
      </c>
      <c r="D256" s="34" t="s">
        <v>242</v>
      </c>
      <c r="E256" s="29">
        <f>SUM(G256:K256)</f>
        <v>4146815</v>
      </c>
      <c r="F256" s="72">
        <v>100</v>
      </c>
      <c r="G256" s="25">
        <v>292219</v>
      </c>
      <c r="H256" s="25">
        <v>843832</v>
      </c>
      <c r="I256" s="25">
        <v>1083466</v>
      </c>
      <c r="J256" s="25">
        <v>0</v>
      </c>
      <c r="K256" s="25">
        <v>1927298</v>
      </c>
      <c r="L256" s="72">
        <f>$E256-SUM(G256:K256)</f>
        <v>0</v>
      </c>
      <c r="N256" s="8">
        <v>205</v>
      </c>
      <c r="O256" s="1">
        <f>VLOOKUP($N256,AF!$B$39:$M$80,O$9)*$G256</f>
        <v>145379.11121018376</v>
      </c>
      <c r="P256" s="1">
        <f>VLOOKUP($N256,AF!$B$39:$M$80,P$9)*$G256</f>
        <v>146839.88878981624</v>
      </c>
      <c r="Q256" s="1">
        <f>VLOOKUP($N256,AF!$B$39:$M$80,Q$9)*$H256</f>
        <v>843832</v>
      </c>
      <c r="R256" s="1">
        <f>VLOOKUP($N256,AF!$B$39:$M$80,R$9)*$H256</f>
        <v>0</v>
      </c>
      <c r="S256" s="1">
        <f>VLOOKUP($N256,AF!$B$39:$M$80,S$9)*$I256</f>
        <v>1083466</v>
      </c>
      <c r="T256" s="1">
        <f>VLOOKUP($N256,AF!$B$39:$M$80,T$9)*$I256</f>
        <v>0</v>
      </c>
      <c r="U256" s="1">
        <f>VLOOKUP($N256,AF!$B$39:$M$80,U$9)*$J256</f>
        <v>0</v>
      </c>
      <c r="V256" s="1">
        <f>VLOOKUP($N256,AF!$B$39:$M$80,V$9)*$J256</f>
        <v>0</v>
      </c>
      <c r="W256" s="1">
        <f t="shared" ref="W256:W259" si="416">E256-SUM(O256:V256)</f>
        <v>1927298</v>
      </c>
      <c r="Y256" s="1">
        <f t="shared" ref="Y256:Z259" si="417">+O256+Q256+S256+U256</f>
        <v>2072677.1112101837</v>
      </c>
      <c r="Z256" s="1">
        <f t="shared" si="417"/>
        <v>146839.88878981624</v>
      </c>
      <c r="AA256" s="1">
        <f t="shared" ref="AA256:AA259" si="418">+Z256+Y256+W256</f>
        <v>4146815</v>
      </c>
      <c r="AB256" s="72">
        <f t="shared" ref="AB256:AB260" si="419">$E256-AA256</f>
        <v>0</v>
      </c>
      <c r="AD256" s="72">
        <v>305</v>
      </c>
      <c r="AE256" s="1">
        <f ca="1">VLOOKUP($AD256,AF!$B$39:$M$80,AE$9)*$O256</f>
        <v>114288.21129720921</v>
      </c>
      <c r="AF256" s="1">
        <f ca="1">VLOOKUP($AD256,AF!$B$39:$M$80,AF$9)*$P256</f>
        <v>40991.592186928479</v>
      </c>
      <c r="AG256" s="1">
        <f ca="1">VLOOKUP($AD256,AF!$B$39:$M$80,AG$9)*$Q256</f>
        <v>516596.13325868634</v>
      </c>
      <c r="AH256" s="1">
        <f ca="1">VLOOKUP($AD256,AF!$B$39:$M$80,AH$9)*$R256</f>
        <v>0</v>
      </c>
      <c r="AI256" s="1">
        <f ca="1">VLOOKUP($AD256,AF!$B$39:$M$80,AI$9)*$S256</f>
        <v>334829.97160718765</v>
      </c>
      <c r="AJ256" s="1">
        <f ca="1">VLOOKUP($AD256,AF!$B$39:$M$80,AJ$9)*$T256</f>
        <v>0</v>
      </c>
      <c r="AK256" s="1">
        <f ca="1">VLOOKUP($AD256,AF!$B$39:$M$80,AK$9)*$U256</f>
        <v>0</v>
      </c>
      <c r="AL256" s="1">
        <f ca="1">VLOOKUP($AD256,AF!$B$39:$M$80,AL$9)*$V256</f>
        <v>0</v>
      </c>
      <c r="AM256" s="1">
        <f t="shared" ref="AM256:AM259" ca="1" si="420">E256-SUM(AE256:AL256)</f>
        <v>3140109.0916499882</v>
      </c>
      <c r="AO256" s="1">
        <f t="shared" ref="AO256:AP259" ca="1" si="421">+AE256+AG256+AI256+AK256</f>
        <v>965714.31616308319</v>
      </c>
      <c r="AP256" s="1">
        <f t="shared" ca="1" si="421"/>
        <v>40991.592186928479</v>
      </c>
      <c r="AQ256" s="1">
        <f t="shared" ref="AQ256:AQ259" ca="1" si="422">+AP256+AO256+AM256</f>
        <v>4146815</v>
      </c>
      <c r="AR256" s="72">
        <f t="shared" ref="AR256:AR260" ca="1" si="423">$E256-AQ256</f>
        <v>0</v>
      </c>
    </row>
    <row r="257" spans="1:44" x14ac:dyDescent="0.45">
      <c r="A257" s="147">
        <f t="shared" si="315"/>
        <v>249</v>
      </c>
      <c r="B257" s="34"/>
      <c r="C257" s="37" t="s">
        <v>724</v>
      </c>
      <c r="D257" s="34" t="s">
        <v>242</v>
      </c>
      <c r="E257" s="28">
        <v>0</v>
      </c>
      <c r="F257" s="72">
        <v>106</v>
      </c>
      <c r="G257" s="1">
        <f>VLOOKUP($F257,AF!$B$39:$M$80,G$9)*$E257</f>
        <v>0</v>
      </c>
      <c r="H257" s="1">
        <f>VLOOKUP($F257,AF!$B$39:$M$80,H$9)*$E257</f>
        <v>0</v>
      </c>
      <c r="I257" s="1">
        <f>VLOOKUP($F257,AF!$B$39:$M$80,I$9)*$E257</f>
        <v>0</v>
      </c>
      <c r="J257" s="1">
        <f>VLOOKUP($F257,AF!$B$39:$M$80,J$9)*$E257</f>
        <v>0</v>
      </c>
      <c r="K257" s="1">
        <f t="shared" ref="K257:K259" si="424">E257-SUM(G257:J257)</f>
        <v>0</v>
      </c>
      <c r="L257" s="72">
        <f>$E257-SUM(G257:K257)</f>
        <v>0</v>
      </c>
      <c r="N257" s="8">
        <v>201</v>
      </c>
      <c r="O257" s="1">
        <f>VLOOKUP($N257,AF!$B$39:$M$80,O$9)*$G257</f>
        <v>0</v>
      </c>
      <c r="P257" s="1">
        <f>VLOOKUP($N257,AF!$B$39:$M$80,P$9)*$G257</f>
        <v>0</v>
      </c>
      <c r="Q257" s="1">
        <f>VLOOKUP($N257,AF!$B$39:$M$80,Q$9)*$H257</f>
        <v>0</v>
      </c>
      <c r="R257" s="1">
        <f>VLOOKUP($N257,AF!$B$39:$M$80,R$9)*$H257</f>
        <v>0</v>
      </c>
      <c r="S257" s="1">
        <f>VLOOKUP($N257,AF!$B$39:$M$80,S$9)*$I257</f>
        <v>0</v>
      </c>
      <c r="T257" s="1">
        <f>VLOOKUP($N257,AF!$B$39:$M$80,T$9)*$I257</f>
        <v>0</v>
      </c>
      <c r="U257" s="1">
        <f>VLOOKUP($N257,AF!$B$39:$M$80,U$9)*$J257</f>
        <v>0</v>
      </c>
      <c r="V257" s="1">
        <f>VLOOKUP($N257,AF!$B$39:$M$80,V$9)*$J257</f>
        <v>0</v>
      </c>
      <c r="W257" s="1">
        <f t="shared" si="416"/>
        <v>0</v>
      </c>
      <c r="Y257" s="1">
        <f t="shared" si="417"/>
        <v>0</v>
      </c>
      <c r="Z257" s="1">
        <f t="shared" si="417"/>
        <v>0</v>
      </c>
      <c r="AA257" s="1">
        <f t="shared" si="418"/>
        <v>0</v>
      </c>
      <c r="AB257" s="72">
        <f t="shared" si="419"/>
        <v>0</v>
      </c>
      <c r="AD257" s="72">
        <v>300</v>
      </c>
      <c r="AE257" s="1">
        <f>VLOOKUP($AD257,AF!$B$39:$M$80,AE$9)*$O257</f>
        <v>0</v>
      </c>
      <c r="AF257" s="1">
        <f>VLOOKUP($AD257,AF!$B$39:$M$80,AF$9)*$P257</f>
        <v>0</v>
      </c>
      <c r="AG257" s="1">
        <f>VLOOKUP($AD257,AF!$B$39:$M$80,AG$9)*$Q257</f>
        <v>0</v>
      </c>
      <c r="AH257" s="1">
        <f>VLOOKUP($AD257,AF!$B$39:$M$80,AH$9)*$R257</f>
        <v>0</v>
      </c>
      <c r="AI257" s="1">
        <f>VLOOKUP($AD257,AF!$B$39:$M$80,AI$9)*$S257</f>
        <v>0</v>
      </c>
      <c r="AJ257" s="1">
        <f>VLOOKUP($AD257,AF!$B$39:$M$80,AJ$9)*$T257</f>
        <v>0</v>
      </c>
      <c r="AK257" s="1">
        <f>VLOOKUP($AD257,AF!$B$39:$M$80,AK$9)*$U257</f>
        <v>0</v>
      </c>
      <c r="AL257" s="1">
        <f>VLOOKUP($AD257,AF!$B$39:$M$80,AL$9)*$V257</f>
        <v>0</v>
      </c>
      <c r="AM257" s="1">
        <f t="shared" si="420"/>
        <v>0</v>
      </c>
      <c r="AO257" s="1">
        <f t="shared" si="421"/>
        <v>0</v>
      </c>
      <c r="AP257" s="1">
        <f t="shared" si="421"/>
        <v>0</v>
      </c>
      <c r="AQ257" s="1">
        <f t="shared" si="422"/>
        <v>0</v>
      </c>
      <c r="AR257" s="72">
        <f t="shared" si="423"/>
        <v>0</v>
      </c>
    </row>
    <row r="258" spans="1:44" x14ac:dyDescent="0.45">
      <c r="A258" s="147">
        <f t="shared" si="315"/>
        <v>250</v>
      </c>
      <c r="B258" s="34"/>
      <c r="C258" s="37" t="s">
        <v>726</v>
      </c>
      <c r="D258" s="34" t="s">
        <v>242</v>
      </c>
      <c r="E258" s="28">
        <v>0</v>
      </c>
      <c r="F258" s="72">
        <v>101</v>
      </c>
      <c r="G258" s="1">
        <f>VLOOKUP($F258,AF!$B$39:$M$80,G$9)*$E258</f>
        <v>0</v>
      </c>
      <c r="H258" s="1">
        <f>VLOOKUP($F258,AF!$B$39:$M$80,H$9)*$E258</f>
        <v>0</v>
      </c>
      <c r="I258" s="1">
        <f>VLOOKUP($F258,AF!$B$39:$M$80,I$9)*$E258</f>
        <v>0</v>
      </c>
      <c r="J258" s="1">
        <f>VLOOKUP($F258,AF!$B$39:$M$80,J$9)*$E258</f>
        <v>0</v>
      </c>
      <c r="K258" s="1">
        <f t="shared" si="424"/>
        <v>0</v>
      </c>
      <c r="L258" s="72">
        <f>$E258-SUM(G258:K258)</f>
        <v>0</v>
      </c>
      <c r="N258" s="8">
        <v>204</v>
      </c>
      <c r="O258" s="1">
        <f>VLOOKUP($N258,AF!$B$39:$M$80,O$9)*$G258</f>
        <v>0</v>
      </c>
      <c r="P258" s="1">
        <f>VLOOKUP($N258,AF!$B$39:$M$80,P$9)*$G258</f>
        <v>0</v>
      </c>
      <c r="Q258" s="1">
        <f>VLOOKUP($N258,AF!$B$39:$M$80,Q$9)*$H258</f>
        <v>0</v>
      </c>
      <c r="R258" s="1">
        <f>VLOOKUP($N258,AF!$B$39:$M$80,R$9)*$H258</f>
        <v>0</v>
      </c>
      <c r="S258" s="1">
        <f>VLOOKUP($N258,AF!$B$39:$M$80,S$9)*$I258</f>
        <v>0</v>
      </c>
      <c r="T258" s="1">
        <f>VLOOKUP($N258,AF!$B$39:$M$80,T$9)*$I258</f>
        <v>0</v>
      </c>
      <c r="U258" s="1">
        <f>VLOOKUP($N258,AF!$B$39:$M$80,U$9)*$J258</f>
        <v>0</v>
      </c>
      <c r="V258" s="1">
        <f>VLOOKUP($N258,AF!$B$39:$M$80,V$9)*$J258</f>
        <v>0</v>
      </c>
      <c r="W258" s="1">
        <f t="shared" si="416"/>
        <v>0</v>
      </c>
      <c r="Y258" s="1">
        <f t="shared" si="417"/>
        <v>0</v>
      </c>
      <c r="Z258" s="1">
        <f t="shared" si="417"/>
        <v>0</v>
      </c>
      <c r="AA258" s="1">
        <f t="shared" si="418"/>
        <v>0</v>
      </c>
      <c r="AB258" s="72">
        <f t="shared" si="419"/>
        <v>0</v>
      </c>
      <c r="AD258" s="72">
        <v>300</v>
      </c>
      <c r="AE258" s="1">
        <f>VLOOKUP($AD258,AF!$B$39:$M$80,AE$9)*$O258</f>
        <v>0</v>
      </c>
      <c r="AF258" s="1">
        <f>VLOOKUP($AD258,AF!$B$39:$M$80,AF$9)*$P258</f>
        <v>0</v>
      </c>
      <c r="AG258" s="1">
        <f>VLOOKUP($AD258,AF!$B$39:$M$80,AG$9)*$Q258</f>
        <v>0</v>
      </c>
      <c r="AH258" s="1">
        <f>VLOOKUP($AD258,AF!$B$39:$M$80,AH$9)*$R258</f>
        <v>0</v>
      </c>
      <c r="AI258" s="1">
        <f>VLOOKUP($AD258,AF!$B$39:$M$80,AI$9)*$S258</f>
        <v>0</v>
      </c>
      <c r="AJ258" s="1">
        <f>VLOOKUP($AD258,AF!$B$39:$M$80,AJ$9)*$T258</f>
        <v>0</v>
      </c>
      <c r="AK258" s="1">
        <f>VLOOKUP($AD258,AF!$B$39:$M$80,AK$9)*$U258</f>
        <v>0</v>
      </c>
      <c r="AL258" s="1">
        <f>VLOOKUP($AD258,AF!$B$39:$M$80,AL$9)*$V258</f>
        <v>0</v>
      </c>
      <c r="AM258" s="1">
        <f t="shared" si="420"/>
        <v>0</v>
      </c>
      <c r="AO258" s="1">
        <f t="shared" si="421"/>
        <v>0</v>
      </c>
      <c r="AP258" s="1">
        <f t="shared" si="421"/>
        <v>0</v>
      </c>
      <c r="AQ258" s="1">
        <f t="shared" si="422"/>
        <v>0</v>
      </c>
      <c r="AR258" s="72">
        <f t="shared" si="423"/>
        <v>0</v>
      </c>
    </row>
    <row r="259" spans="1:44" x14ac:dyDescent="0.45">
      <c r="A259" s="147">
        <f t="shared" si="315"/>
        <v>251</v>
      </c>
      <c r="B259" s="34"/>
      <c r="C259" s="34" t="s">
        <v>149</v>
      </c>
      <c r="D259" s="34" t="s">
        <v>242</v>
      </c>
      <c r="E259" s="26">
        <f>28155323-E256</f>
        <v>24008508</v>
      </c>
      <c r="F259" s="72">
        <v>101</v>
      </c>
      <c r="G259" s="133">
        <f>VLOOKUP($F259,AF!$B$39:$M$80,G$9)*$E259</f>
        <v>0</v>
      </c>
      <c r="H259" s="133">
        <f>VLOOKUP($F259,AF!$B$39:$M$80,H$9)*$E259</f>
        <v>0</v>
      </c>
      <c r="I259" s="133">
        <f>VLOOKUP($F259,AF!$B$39:$M$80,I$9)*$E259</f>
        <v>0</v>
      </c>
      <c r="J259" s="133">
        <f>VLOOKUP($F259,AF!$B$39:$M$80,J$9)*$E259</f>
        <v>0</v>
      </c>
      <c r="K259" s="133">
        <f t="shared" si="424"/>
        <v>24008508</v>
      </c>
      <c r="L259" s="72">
        <f>$E259-SUM(G259:K259)</f>
        <v>0</v>
      </c>
      <c r="N259" s="8">
        <v>206</v>
      </c>
      <c r="O259" s="133">
        <f>VLOOKUP($N259,AF!$B$39:$M$80,O$9)*$G259</f>
        <v>0</v>
      </c>
      <c r="P259" s="133">
        <f>VLOOKUP($N259,AF!$B$39:$M$80,P$9)*$G259</f>
        <v>0</v>
      </c>
      <c r="Q259" s="133">
        <f>VLOOKUP($N259,AF!$B$39:$M$80,Q$9)*$H259</f>
        <v>0</v>
      </c>
      <c r="R259" s="133">
        <f>VLOOKUP($N259,AF!$B$39:$M$80,R$9)*$H259</f>
        <v>0</v>
      </c>
      <c r="S259" s="133">
        <f>VLOOKUP($N259,AF!$B$39:$M$80,S$9)*$I259</f>
        <v>0</v>
      </c>
      <c r="T259" s="133">
        <f>VLOOKUP($N259,AF!$B$39:$M$80,T$9)*$I259</f>
        <v>0</v>
      </c>
      <c r="U259" s="133">
        <f>VLOOKUP($N259,AF!$B$39:$M$80,U$9)*$J259</f>
        <v>0</v>
      </c>
      <c r="V259" s="133">
        <f>VLOOKUP($N259,AF!$B$39:$M$80,V$9)*$J259</f>
        <v>0</v>
      </c>
      <c r="W259" s="133">
        <f t="shared" si="416"/>
        <v>24008508</v>
      </c>
      <c r="Y259" s="133">
        <f t="shared" si="417"/>
        <v>0</v>
      </c>
      <c r="Z259" s="133">
        <f t="shared" si="417"/>
        <v>0</v>
      </c>
      <c r="AA259" s="133">
        <f t="shared" si="418"/>
        <v>24008508</v>
      </c>
      <c r="AB259" s="72">
        <f t="shared" si="419"/>
        <v>0</v>
      </c>
      <c r="AD259" s="72">
        <v>300</v>
      </c>
      <c r="AE259" s="133">
        <f>VLOOKUP($AD259,AF!$B$39:$M$80,AE$9)*$O259</f>
        <v>0</v>
      </c>
      <c r="AF259" s="133">
        <f>VLOOKUP($AD259,AF!$B$39:$M$80,AF$9)*$P259</f>
        <v>0</v>
      </c>
      <c r="AG259" s="133">
        <f>VLOOKUP($AD259,AF!$B$39:$M$80,AG$9)*$Q259</f>
        <v>0</v>
      </c>
      <c r="AH259" s="133">
        <f>VLOOKUP($AD259,AF!$B$39:$M$80,AH$9)*$R259</f>
        <v>0</v>
      </c>
      <c r="AI259" s="133">
        <f>VLOOKUP($AD259,AF!$B$39:$M$80,AI$9)*$S259</f>
        <v>0</v>
      </c>
      <c r="AJ259" s="133">
        <f>VLOOKUP($AD259,AF!$B$39:$M$80,AJ$9)*$T259</f>
        <v>0</v>
      </c>
      <c r="AK259" s="133">
        <f>VLOOKUP($AD259,AF!$B$39:$M$80,AK$9)*$U259</f>
        <v>0</v>
      </c>
      <c r="AL259" s="133">
        <f>VLOOKUP($AD259,AF!$B$39:$M$80,AL$9)*$V259</f>
        <v>0</v>
      </c>
      <c r="AM259" s="133">
        <f t="shared" si="420"/>
        <v>24008508</v>
      </c>
      <c r="AO259" s="133">
        <f t="shared" si="421"/>
        <v>0</v>
      </c>
      <c r="AP259" s="133">
        <f t="shared" si="421"/>
        <v>0</v>
      </c>
      <c r="AQ259" s="133">
        <f t="shared" si="422"/>
        <v>24008508</v>
      </c>
      <c r="AR259" s="72">
        <f t="shared" si="423"/>
        <v>0</v>
      </c>
    </row>
    <row r="260" spans="1:44" x14ac:dyDescent="0.45">
      <c r="A260" s="147">
        <f t="shared" si="315"/>
        <v>252</v>
      </c>
      <c r="B260" s="34"/>
      <c r="C260" s="34" t="s">
        <v>0</v>
      </c>
      <c r="D260" s="34"/>
      <c r="E260" s="36">
        <f>SUM(E256:E259)</f>
        <v>28155323</v>
      </c>
      <c r="F260" s="8"/>
      <c r="G260" s="1">
        <f t="shared" ref="G260:K260" si="425">SUM(G256:G259)</f>
        <v>292219</v>
      </c>
      <c r="H260" s="1">
        <f t="shared" si="425"/>
        <v>843832</v>
      </c>
      <c r="I260" s="1">
        <f t="shared" si="425"/>
        <v>1083466</v>
      </c>
      <c r="J260" s="1">
        <f t="shared" si="425"/>
        <v>0</v>
      </c>
      <c r="K260" s="1">
        <f t="shared" si="425"/>
        <v>25935806</v>
      </c>
      <c r="L260" s="72">
        <f>$E260-SUM(G260:K260)</f>
        <v>0</v>
      </c>
      <c r="N260" s="8"/>
      <c r="O260" s="1">
        <f t="shared" ref="O260:W260" si="426">SUM(O256:O259)</f>
        <v>145379.11121018376</v>
      </c>
      <c r="P260" s="1">
        <f t="shared" si="426"/>
        <v>146839.88878981624</v>
      </c>
      <c r="Q260" s="1">
        <f t="shared" si="426"/>
        <v>843832</v>
      </c>
      <c r="R260" s="1">
        <f t="shared" si="426"/>
        <v>0</v>
      </c>
      <c r="S260" s="1">
        <f t="shared" si="426"/>
        <v>1083466</v>
      </c>
      <c r="T260" s="1">
        <f t="shared" si="426"/>
        <v>0</v>
      </c>
      <c r="U260" s="1">
        <f t="shared" si="426"/>
        <v>0</v>
      </c>
      <c r="V260" s="1">
        <f t="shared" si="426"/>
        <v>0</v>
      </c>
      <c r="W260" s="1">
        <f t="shared" si="426"/>
        <v>25935806</v>
      </c>
      <c r="Y260" s="1">
        <f t="shared" ref="Y260:AA260" si="427">SUM(Y256:Y259)</f>
        <v>2072677.1112101837</v>
      </c>
      <c r="Z260" s="1">
        <f t="shared" si="427"/>
        <v>146839.88878981624</v>
      </c>
      <c r="AA260" s="1">
        <f t="shared" si="427"/>
        <v>28155323</v>
      </c>
      <c r="AB260" s="72">
        <f t="shared" si="419"/>
        <v>0</v>
      </c>
      <c r="AD260" s="8"/>
      <c r="AE260" s="1">
        <f t="shared" ref="AE260:AM260" ca="1" si="428">SUM(AE256:AE259)</f>
        <v>114288.21129720921</v>
      </c>
      <c r="AF260" s="1">
        <f t="shared" ca="1" si="428"/>
        <v>40991.592186928479</v>
      </c>
      <c r="AG260" s="1">
        <f t="shared" ca="1" si="428"/>
        <v>516596.13325868634</v>
      </c>
      <c r="AH260" s="1">
        <f t="shared" ca="1" si="428"/>
        <v>0</v>
      </c>
      <c r="AI260" s="1">
        <f t="shared" ca="1" si="428"/>
        <v>334829.97160718765</v>
      </c>
      <c r="AJ260" s="1">
        <f t="shared" ca="1" si="428"/>
        <v>0</v>
      </c>
      <c r="AK260" s="1">
        <f t="shared" ca="1" si="428"/>
        <v>0</v>
      </c>
      <c r="AL260" s="1">
        <f t="shared" ca="1" si="428"/>
        <v>0</v>
      </c>
      <c r="AM260" s="1">
        <f t="shared" ca="1" si="428"/>
        <v>27148617.091649987</v>
      </c>
      <c r="AO260" s="1">
        <f t="shared" ref="AO260:AQ260" ca="1" si="429">SUM(AO256:AO259)</f>
        <v>965714.31616308319</v>
      </c>
      <c r="AP260" s="1">
        <f t="shared" ca="1" si="429"/>
        <v>40991.592186928479</v>
      </c>
      <c r="AQ260" s="1">
        <f t="shared" ca="1" si="429"/>
        <v>28155323</v>
      </c>
      <c r="AR260" s="72">
        <f t="shared" ca="1" si="423"/>
        <v>0</v>
      </c>
    </row>
    <row r="261" spans="1:44" x14ac:dyDescent="0.45">
      <c r="A261" s="147">
        <f t="shared" si="315"/>
        <v>253</v>
      </c>
      <c r="B261" s="34"/>
      <c r="C261" s="34"/>
      <c r="D261" s="34"/>
      <c r="E261" s="34"/>
      <c r="F261" s="74"/>
      <c r="G261" s="88"/>
      <c r="H261" s="88"/>
      <c r="I261" s="88"/>
      <c r="J261" s="88"/>
      <c r="K261" s="88"/>
      <c r="L261" s="74"/>
      <c r="N261" s="74"/>
      <c r="O261" s="88"/>
      <c r="P261" s="88"/>
      <c r="Q261" s="88"/>
      <c r="R261" s="88"/>
      <c r="S261" s="88"/>
      <c r="T261" s="88"/>
      <c r="U261" s="88"/>
      <c r="V261" s="88"/>
      <c r="W261" s="88"/>
      <c r="Y261" s="88"/>
      <c r="Z261" s="88"/>
      <c r="AA261" s="88"/>
      <c r="AB261" s="74"/>
      <c r="AD261" s="74"/>
      <c r="AE261" s="88"/>
      <c r="AF261" s="88"/>
      <c r="AG261" s="88"/>
      <c r="AH261" s="88"/>
      <c r="AI261" s="88"/>
      <c r="AJ261" s="88"/>
      <c r="AK261" s="88"/>
      <c r="AL261" s="88"/>
      <c r="AM261" s="88"/>
      <c r="AO261" s="88"/>
      <c r="AP261" s="88"/>
      <c r="AQ261" s="88"/>
      <c r="AR261" s="74"/>
    </row>
    <row r="262" spans="1:44" x14ac:dyDescent="0.45">
      <c r="A262" s="147">
        <f t="shared" si="315"/>
        <v>254</v>
      </c>
      <c r="B262" s="16" t="s">
        <v>16</v>
      </c>
      <c r="C262" s="16"/>
      <c r="D262" s="34"/>
      <c r="E262" s="34"/>
      <c r="F262" s="74"/>
      <c r="G262" s="88"/>
      <c r="H262" s="88"/>
      <c r="I262" s="88"/>
      <c r="J262" s="88"/>
      <c r="K262" s="88"/>
      <c r="L262" s="74"/>
      <c r="N262" s="74"/>
      <c r="O262" s="88"/>
      <c r="P262" s="88"/>
      <c r="Q262" s="88"/>
      <c r="R262" s="88"/>
      <c r="S262" s="88"/>
      <c r="T262" s="88"/>
      <c r="U262" s="88"/>
      <c r="V262" s="88"/>
      <c r="W262" s="88"/>
      <c r="Y262" s="88"/>
      <c r="Z262" s="88"/>
      <c r="AA262" s="88"/>
      <c r="AB262" s="74"/>
      <c r="AD262" s="74"/>
      <c r="AE262" s="88"/>
      <c r="AF262" s="88"/>
      <c r="AG262" s="88"/>
      <c r="AH262" s="88"/>
      <c r="AI262" s="88"/>
      <c r="AJ262" s="88"/>
      <c r="AK262" s="88"/>
      <c r="AL262" s="88"/>
      <c r="AM262" s="88"/>
      <c r="AO262" s="88"/>
      <c r="AP262" s="88"/>
      <c r="AQ262" s="88"/>
      <c r="AR262" s="74"/>
    </row>
    <row r="263" spans="1:44" x14ac:dyDescent="0.45">
      <c r="A263" s="147">
        <f t="shared" si="315"/>
        <v>255</v>
      </c>
      <c r="B263" s="34"/>
      <c r="C263" s="34" t="s">
        <v>727</v>
      </c>
      <c r="D263" s="34"/>
      <c r="E263" s="8">
        <f>SUM(G263:K263)</f>
        <v>1899118.0850000009</v>
      </c>
      <c r="F263" s="74"/>
      <c r="G263" s="17">
        <f>+G287</f>
        <v>73393.310000000056</v>
      </c>
      <c r="H263" s="17">
        <f t="shared" ref="H263:J263" si="430">+H287</f>
        <v>1466406.9750000006</v>
      </c>
      <c r="I263" s="17">
        <f t="shared" si="430"/>
        <v>359317.80000000028</v>
      </c>
      <c r="J263" s="17">
        <f t="shared" si="430"/>
        <v>0</v>
      </c>
      <c r="K263" s="17">
        <v>0</v>
      </c>
      <c r="L263" s="72">
        <f>$E263-SUM(G263:K263)</f>
        <v>0</v>
      </c>
      <c r="N263" s="8">
        <v>205</v>
      </c>
      <c r="O263" s="1">
        <f>VLOOKUP($N263,AF!$B$39:$M$80,O$9)*$G263</f>
        <v>36513.211586424906</v>
      </c>
      <c r="P263" s="1">
        <f>VLOOKUP($N263,AF!$B$39:$M$80,P$9)*$G263</f>
        <v>36880.09841357515</v>
      </c>
      <c r="Q263" s="1">
        <f>VLOOKUP($N263,AF!$B$39:$M$80,Q$9)*$H263</f>
        <v>1466406.9750000006</v>
      </c>
      <c r="R263" s="1">
        <f>VLOOKUP($N263,AF!$B$39:$M$80,R$9)*$H263</f>
        <v>0</v>
      </c>
      <c r="S263" s="1">
        <f>VLOOKUP($N263,AF!$B$39:$M$80,S$9)*$I263</f>
        <v>359317.80000000028</v>
      </c>
      <c r="T263" s="1">
        <f>VLOOKUP($N263,AF!$B$39:$M$80,T$9)*$I263</f>
        <v>0</v>
      </c>
      <c r="U263" s="1">
        <f>VLOOKUP($N263,AF!$B$39:$M$80,U$9)*$J263</f>
        <v>0</v>
      </c>
      <c r="V263" s="1">
        <f>VLOOKUP($N263,AF!$B$39:$M$80,V$9)*$J263</f>
        <v>0</v>
      </c>
      <c r="W263" s="1">
        <f t="shared" ref="W263" si="431">E263-SUM(O263:V263)</f>
        <v>0</v>
      </c>
      <c r="Y263" s="1">
        <f>+O263+Q263+S263+U263</f>
        <v>1862237.9865864257</v>
      </c>
      <c r="Z263" s="1">
        <f>+P263+R263+T263+V263</f>
        <v>36880.09841357515</v>
      </c>
      <c r="AA263" s="1">
        <f t="shared" ref="AA263" si="432">+Z263+Y263+W263</f>
        <v>1899118.0850000009</v>
      </c>
      <c r="AB263" s="72">
        <f t="shared" ref="AB263" si="433">$E263-AA263</f>
        <v>0</v>
      </c>
      <c r="AD263" s="72">
        <v>305</v>
      </c>
      <c r="AE263" s="1">
        <f ca="1">VLOOKUP($AD263,AF!$B$39:$M$80,AE$9)*$O263</f>
        <v>28704.465216435561</v>
      </c>
      <c r="AF263" s="1">
        <f ca="1">VLOOKUP($AD263,AF!$B$39:$M$80,AF$9)*$P263</f>
        <v>10295.390213397561</v>
      </c>
      <c r="AG263" s="1">
        <f ca="1">VLOOKUP($AD263,AF!$B$39:$M$80,AG$9)*$Q263</f>
        <v>897738.14345576777</v>
      </c>
      <c r="AH263" s="1">
        <f ca="1">VLOOKUP($AD263,AF!$B$39:$M$80,AH$9)*$R263</f>
        <v>0</v>
      </c>
      <c r="AI263" s="1">
        <f ca="1">VLOOKUP($AD263,AF!$B$39:$M$80,AI$9)*$S263</f>
        <v>111042.12663060699</v>
      </c>
      <c r="AJ263" s="1">
        <f ca="1">VLOOKUP($AD263,AF!$B$39:$M$80,AJ$9)*$T263</f>
        <v>0</v>
      </c>
      <c r="AK263" s="1">
        <f ca="1">VLOOKUP($AD263,AF!$B$39:$M$80,AK$9)*$U263</f>
        <v>0</v>
      </c>
      <c r="AL263" s="1">
        <f ca="1">VLOOKUP($AD263,AF!$B$39:$M$80,AL$9)*$V263</f>
        <v>0</v>
      </c>
      <c r="AM263" s="1">
        <f ca="1">E263-SUM(AE263:AL263)</f>
        <v>851337.95948379301</v>
      </c>
      <c r="AO263" s="1">
        <f ca="1">+AE263+AG263+AI263+AK263</f>
        <v>1037484.7353028103</v>
      </c>
      <c r="AP263" s="1">
        <f ca="1">+AF263+AH263+AJ263+AL263</f>
        <v>10295.390213397561</v>
      </c>
      <c r="AQ263" s="1">
        <f t="shared" ref="AQ263" ca="1" si="434">+AP263+AO263+AM263</f>
        <v>1899118.0850000009</v>
      </c>
      <c r="AR263" s="72">
        <f t="shared" ref="AR263" ca="1" si="435">$E263-AQ263</f>
        <v>0</v>
      </c>
    </row>
    <row r="264" spans="1:44" ht="14.65" thickBot="1" x14ac:dyDescent="0.5">
      <c r="A264" s="147">
        <f t="shared" si="315"/>
        <v>256</v>
      </c>
      <c r="B264" s="34"/>
      <c r="C264" s="34"/>
      <c r="D264" s="34"/>
      <c r="E264" s="64"/>
      <c r="F264" s="74"/>
      <c r="G264" s="64"/>
      <c r="H264" s="64"/>
      <c r="I264" s="64"/>
      <c r="J264" s="64"/>
      <c r="K264" s="64"/>
      <c r="L264" s="74"/>
      <c r="N264" s="74"/>
      <c r="O264" s="64"/>
      <c r="P264" s="64"/>
      <c r="Q264" s="64"/>
      <c r="R264" s="64"/>
      <c r="S264" s="64"/>
      <c r="T264" s="64"/>
      <c r="U264" s="64"/>
      <c r="V264" s="64"/>
      <c r="W264" s="64"/>
      <c r="Y264" s="64"/>
      <c r="Z264" s="64"/>
      <c r="AA264" s="64"/>
      <c r="AB264" s="74"/>
      <c r="AD264" s="74"/>
      <c r="AE264" s="64"/>
      <c r="AF264" s="64"/>
      <c r="AG264" s="64"/>
      <c r="AH264" s="64"/>
      <c r="AI264" s="64"/>
      <c r="AJ264" s="64"/>
      <c r="AK264" s="64"/>
      <c r="AL264" s="64"/>
      <c r="AM264" s="64"/>
      <c r="AO264" s="64"/>
      <c r="AP264" s="64"/>
      <c r="AQ264" s="64"/>
      <c r="AR264" s="74"/>
    </row>
    <row r="265" spans="1:44" ht="14.65" thickTop="1" x14ac:dyDescent="0.45">
      <c r="A265" s="147">
        <f t="shared" si="315"/>
        <v>257</v>
      </c>
      <c r="C265" s="34" t="s">
        <v>17</v>
      </c>
      <c r="D265" s="34"/>
      <c r="E265" s="36">
        <f>+E253+E260+E263</f>
        <v>427498856.08499998</v>
      </c>
      <c r="F265" s="8"/>
      <c r="G265" s="36">
        <f t="shared" ref="G265:K265" si="436">+G253+G260+G263</f>
        <v>1088420.1116353839</v>
      </c>
      <c r="H265" s="36">
        <f t="shared" si="436"/>
        <v>3251831.2880294872</v>
      </c>
      <c r="I265" s="36">
        <f t="shared" si="436"/>
        <v>5295542.6363002546</v>
      </c>
      <c r="J265" s="36">
        <f t="shared" si="436"/>
        <v>0</v>
      </c>
      <c r="K265" s="36">
        <f t="shared" si="436"/>
        <v>417863062.04903483</v>
      </c>
      <c r="L265" s="72">
        <f>$E265-SUM(G265:K265)</f>
        <v>0</v>
      </c>
      <c r="N265" s="8"/>
      <c r="O265" s="36">
        <f t="shared" ref="O265:W265" si="437">+O253+O260+O263</f>
        <v>447831.25608840201</v>
      </c>
      <c r="P265" s="36">
        <f t="shared" si="437"/>
        <v>640588.85554698203</v>
      </c>
      <c r="Q265" s="36">
        <f t="shared" si="437"/>
        <v>3251831.2880294872</v>
      </c>
      <c r="R265" s="36">
        <f t="shared" si="437"/>
        <v>0</v>
      </c>
      <c r="S265" s="36">
        <f t="shared" si="437"/>
        <v>5295542.6363002546</v>
      </c>
      <c r="T265" s="36">
        <f t="shared" si="437"/>
        <v>0</v>
      </c>
      <c r="U265" s="36">
        <f t="shared" si="437"/>
        <v>0</v>
      </c>
      <c r="V265" s="36">
        <f t="shared" si="437"/>
        <v>0</v>
      </c>
      <c r="W265" s="36">
        <f t="shared" si="437"/>
        <v>417863062.04903483</v>
      </c>
      <c r="Y265" s="36">
        <f t="shared" ref="Y265:AA265" si="438">+Y253+Y260+Y263</f>
        <v>8995205.180418143</v>
      </c>
      <c r="Z265" s="36">
        <f t="shared" si="438"/>
        <v>640588.85554698203</v>
      </c>
      <c r="AA265" s="36">
        <f t="shared" si="438"/>
        <v>427498856.08499998</v>
      </c>
      <c r="AB265" s="72">
        <f t="shared" ref="AB265:AB267" si="439">$E265-AA265</f>
        <v>0</v>
      </c>
      <c r="AD265" s="8"/>
      <c r="AE265" s="36">
        <f t="shared" ref="AE265:AM265" ca="1" si="440">+AE253+AE260+AE263</f>
        <v>336507.49447837891</v>
      </c>
      <c r="AF265" s="36">
        <f t="shared" ca="1" si="440"/>
        <v>173568.38805759544</v>
      </c>
      <c r="AG265" s="36">
        <f t="shared" ca="1" si="440"/>
        <v>1999372.1034825153</v>
      </c>
      <c r="AH265" s="36">
        <f t="shared" ca="1" si="440"/>
        <v>0</v>
      </c>
      <c r="AI265" s="36">
        <f t="shared" ca="1" si="440"/>
        <v>1536980.6018233546</v>
      </c>
      <c r="AJ265" s="36">
        <f t="shared" ca="1" si="440"/>
        <v>0</v>
      </c>
      <c r="AK265" s="36">
        <f t="shared" ca="1" si="440"/>
        <v>0</v>
      </c>
      <c r="AL265" s="36">
        <f t="shared" ca="1" si="440"/>
        <v>0</v>
      </c>
      <c r="AM265" s="36">
        <f t="shared" ca="1" si="440"/>
        <v>423452427.49715817</v>
      </c>
      <c r="AO265" s="36">
        <f ca="1">+AO253+AO260+AO263</f>
        <v>3872860.1997842481</v>
      </c>
      <c r="AP265" s="36">
        <f t="shared" ref="AP265" ca="1" si="441">+AP253+AP260+AP263</f>
        <v>173568.38805759544</v>
      </c>
      <c r="AQ265" s="1">
        <f t="shared" ref="AQ265" ca="1" si="442">+AP265+AO265+AM265</f>
        <v>427498856.08500004</v>
      </c>
      <c r="AR265" s="72">
        <f t="shared" ref="AR265" ca="1" si="443">$E265-AQ265</f>
        <v>0</v>
      </c>
    </row>
    <row r="266" spans="1:44" x14ac:dyDescent="0.45">
      <c r="A266" s="147">
        <f t="shared" si="315"/>
        <v>258</v>
      </c>
      <c r="C266" s="21" t="s">
        <v>736</v>
      </c>
      <c r="E266" s="22">
        <f>E265-E263</f>
        <v>425599738</v>
      </c>
      <c r="G266" s="22">
        <f t="shared" ref="G266:K266" si="444">G265-G263</f>
        <v>1015026.8016353839</v>
      </c>
      <c r="H266" s="22">
        <f t="shared" si="444"/>
        <v>1785424.3130294867</v>
      </c>
      <c r="I266" s="22">
        <f t="shared" si="444"/>
        <v>4936224.8363002539</v>
      </c>
      <c r="J266" s="22">
        <f t="shared" si="444"/>
        <v>0</v>
      </c>
      <c r="K266" s="22">
        <f t="shared" si="444"/>
        <v>417863062.04903483</v>
      </c>
      <c r="L266" s="72">
        <f>$E266-SUM(G266:K266)</f>
        <v>0</v>
      </c>
      <c r="O266" s="22">
        <f t="shared" ref="O266:W266" si="445">O265-O263</f>
        <v>411318.0445019771</v>
      </c>
      <c r="P266" s="22">
        <f t="shared" si="445"/>
        <v>603708.75713340682</v>
      </c>
      <c r="Q266" s="22">
        <f t="shared" si="445"/>
        <v>1785424.3130294867</v>
      </c>
      <c r="R266" s="22">
        <f t="shared" si="445"/>
        <v>0</v>
      </c>
      <c r="S266" s="22">
        <f t="shared" si="445"/>
        <v>4936224.8363002539</v>
      </c>
      <c r="T266" s="22">
        <f t="shared" si="445"/>
        <v>0</v>
      </c>
      <c r="U266" s="22">
        <f t="shared" si="445"/>
        <v>0</v>
      </c>
      <c r="V266" s="22">
        <f t="shared" si="445"/>
        <v>0</v>
      </c>
      <c r="W266" s="22">
        <f t="shared" si="445"/>
        <v>417863062.04903483</v>
      </c>
      <c r="Y266" s="22">
        <f t="shared" ref="Y266:AA266" si="446">Y265-Y263</f>
        <v>7132967.1938317176</v>
      </c>
      <c r="Z266" s="22">
        <f t="shared" si="446"/>
        <v>603708.75713340682</v>
      </c>
      <c r="AA266" s="22">
        <f t="shared" si="446"/>
        <v>425599738</v>
      </c>
      <c r="AB266" s="72">
        <f t="shared" si="439"/>
        <v>0</v>
      </c>
      <c r="AE266" s="22">
        <f t="shared" ref="AE266:AM266" ca="1" si="447">AE265-AE263</f>
        <v>307803.02926194336</v>
      </c>
      <c r="AF266" s="22">
        <f t="shared" ca="1" si="447"/>
        <v>163272.99784419787</v>
      </c>
      <c r="AG266" s="22">
        <f t="shared" ca="1" si="447"/>
        <v>1101633.9600267475</v>
      </c>
      <c r="AH266" s="22">
        <f t="shared" ca="1" si="447"/>
        <v>0</v>
      </c>
      <c r="AI266" s="22">
        <f t="shared" ca="1" si="447"/>
        <v>1425938.4751927475</v>
      </c>
      <c r="AJ266" s="22">
        <f t="shared" ca="1" si="447"/>
        <v>0</v>
      </c>
      <c r="AK266" s="22">
        <f t="shared" ca="1" si="447"/>
        <v>0</v>
      </c>
      <c r="AL266" s="22">
        <f t="shared" ca="1" si="447"/>
        <v>0</v>
      </c>
      <c r="AM266" s="22">
        <f t="shared" ca="1" si="447"/>
        <v>422601089.53767437</v>
      </c>
      <c r="AO266" s="22">
        <f ca="1">AO265-AO263</f>
        <v>2835375.4644814376</v>
      </c>
      <c r="AP266" s="22">
        <f t="shared" ref="AP266:AQ266" ca="1" si="448">AP265-AP263</f>
        <v>163272.99784419787</v>
      </c>
      <c r="AQ266" s="22">
        <f t="shared" ca="1" si="448"/>
        <v>425599738.00000006</v>
      </c>
      <c r="AR266" s="72">
        <f t="shared" ref="AR266" ca="1" si="449">$E266-AQ266</f>
        <v>0</v>
      </c>
    </row>
    <row r="267" spans="1:44" x14ac:dyDescent="0.45">
      <c r="A267" s="147">
        <f t="shared" si="315"/>
        <v>259</v>
      </c>
      <c r="C267" s="21" t="s">
        <v>759</v>
      </c>
      <c r="E267" s="22">
        <f>E228-E226</f>
        <v>320576732</v>
      </c>
      <c r="G267" s="22">
        <f>G228-G226</f>
        <v>153483.44108882523</v>
      </c>
      <c r="H267" s="22">
        <f t="shared" ref="H267:K267" si="450">H228-H226</f>
        <v>57271.404240687669</v>
      </c>
      <c r="I267" s="22">
        <f t="shared" si="450"/>
        <v>1451634.1264183382</v>
      </c>
      <c r="J267" s="22">
        <f t="shared" si="450"/>
        <v>0</v>
      </c>
      <c r="K267" s="22">
        <f t="shared" si="450"/>
        <v>318914343.02825212</v>
      </c>
      <c r="L267" s="72">
        <f>$E267-SUM(G267:K267)</f>
        <v>0</v>
      </c>
      <c r="O267" s="22">
        <f t="shared" ref="O267:AA267" si="451">O228-O226</f>
        <v>37592.68169446582</v>
      </c>
      <c r="P267" s="22">
        <f t="shared" si="451"/>
        <v>115890.7593943594</v>
      </c>
      <c r="Q267" s="22">
        <f t="shared" si="451"/>
        <v>57271.404240687669</v>
      </c>
      <c r="R267" s="22">
        <f t="shared" si="451"/>
        <v>0</v>
      </c>
      <c r="S267" s="22">
        <f t="shared" si="451"/>
        <v>1451634.1264183382</v>
      </c>
      <c r="T267" s="22">
        <f t="shared" si="451"/>
        <v>0</v>
      </c>
      <c r="U267" s="22">
        <f t="shared" si="451"/>
        <v>0</v>
      </c>
      <c r="V267" s="22">
        <f t="shared" si="451"/>
        <v>0</v>
      </c>
      <c r="W267" s="22">
        <f t="shared" si="451"/>
        <v>318914343.02825212</v>
      </c>
      <c r="Y267" s="22">
        <f t="shared" si="451"/>
        <v>1546498.2123534917</v>
      </c>
      <c r="Z267" s="22">
        <f t="shared" si="451"/>
        <v>115890.7593943594</v>
      </c>
      <c r="AA267" s="22">
        <f t="shared" si="451"/>
        <v>320576732</v>
      </c>
      <c r="AB267" s="72">
        <f t="shared" si="439"/>
        <v>0</v>
      </c>
      <c r="AE267" s="22">
        <f t="shared" ref="AE267:AQ267" ca="1" si="452">AE228-AE226</f>
        <v>13608.906453388434</v>
      </c>
      <c r="AF267" s="22">
        <f t="shared" ca="1" si="452"/>
        <v>23310.44097985814</v>
      </c>
      <c r="AG267" s="22">
        <f t="shared" ca="1" si="452"/>
        <v>43433.386118295995</v>
      </c>
      <c r="AH267" s="22">
        <f t="shared" ca="1" si="452"/>
        <v>0</v>
      </c>
      <c r="AI267" s="22">
        <f t="shared" ca="1" si="452"/>
        <v>322429.98529007268</v>
      </c>
      <c r="AJ267" s="22">
        <f t="shared" ca="1" si="452"/>
        <v>0</v>
      </c>
      <c r="AK267" s="22">
        <f t="shared" ca="1" si="452"/>
        <v>0</v>
      </c>
      <c r="AL267" s="22">
        <f t="shared" ca="1" si="452"/>
        <v>0</v>
      </c>
      <c r="AM267" s="22">
        <f t="shared" ca="1" si="452"/>
        <v>320173949.28115833</v>
      </c>
      <c r="AN267" s="22"/>
      <c r="AO267" s="22">
        <f t="shared" ca="1" si="452"/>
        <v>379472.27786175709</v>
      </c>
      <c r="AP267" s="22">
        <f t="shared" ca="1" si="452"/>
        <v>23310.44097985814</v>
      </c>
      <c r="AQ267" s="22">
        <f t="shared" ca="1" si="452"/>
        <v>320576732</v>
      </c>
      <c r="AR267" s="72"/>
    </row>
    <row r="268" spans="1:44" x14ac:dyDescent="0.45">
      <c r="A268" s="147">
        <f t="shared" si="315"/>
        <v>260</v>
      </c>
      <c r="C268" s="21" t="s">
        <v>763</v>
      </c>
      <c r="E268" s="22"/>
      <c r="G268" s="22"/>
      <c r="H268" s="22"/>
      <c r="I268" s="22"/>
      <c r="J268" s="22"/>
      <c r="K268" s="22"/>
      <c r="L268" s="72"/>
      <c r="O268" s="13">
        <f>IFERROR(O267/$E$267,0)</f>
        <v>1.172657836391751E-4</v>
      </c>
      <c r="P268" s="13">
        <f t="shared" ref="P268:W268" si="453">IFERROR(P267/$E$267,0)</f>
        <v>3.6150708340978218E-4</v>
      </c>
      <c r="Q268" s="13">
        <f t="shared" si="453"/>
        <v>1.7865115750411876E-4</v>
      </c>
      <c r="R268" s="13">
        <f t="shared" si="453"/>
        <v>0</v>
      </c>
      <c r="S268" s="13">
        <f t="shared" si="453"/>
        <v>4.5281955348472954E-3</v>
      </c>
      <c r="T268" s="13">
        <f t="shared" si="453"/>
        <v>0</v>
      </c>
      <c r="U268" s="13">
        <f t="shared" si="453"/>
        <v>0</v>
      </c>
      <c r="V268" s="13">
        <f t="shared" si="453"/>
        <v>0</v>
      </c>
      <c r="W268" s="13">
        <f t="shared" si="453"/>
        <v>0.99481438044059955</v>
      </c>
      <c r="Y268" s="22"/>
      <c r="Z268" s="22"/>
      <c r="AA268" s="22"/>
      <c r="AB268" s="72"/>
      <c r="AE268" s="22"/>
      <c r="AF268" s="22"/>
      <c r="AG268" s="22"/>
      <c r="AH268" s="22"/>
      <c r="AI268" s="22"/>
      <c r="AJ268" s="22"/>
      <c r="AK268" s="22"/>
      <c r="AL268" s="22"/>
      <c r="AM268" s="22"/>
      <c r="AO268" s="22"/>
      <c r="AP268" s="22"/>
      <c r="AQ268" s="22"/>
      <c r="AR268" s="72"/>
    </row>
    <row r="269" spans="1:44" x14ac:dyDescent="0.45">
      <c r="A269" s="147">
        <f t="shared" si="315"/>
        <v>261</v>
      </c>
      <c r="E269" s="22"/>
      <c r="G269" s="22"/>
      <c r="H269" s="22"/>
      <c r="I269" s="22"/>
      <c r="J269" s="22"/>
      <c r="K269" s="22"/>
      <c r="L269" s="72"/>
      <c r="O269" s="13"/>
      <c r="P269" s="13"/>
      <c r="Q269" s="13"/>
      <c r="R269" s="13"/>
      <c r="S269" s="13"/>
      <c r="T269" s="13"/>
      <c r="U269" s="13"/>
      <c r="V269" s="13"/>
      <c r="W269" s="13"/>
      <c r="Y269" s="22"/>
      <c r="Z269" s="22"/>
      <c r="AA269" s="22"/>
      <c r="AB269" s="72"/>
      <c r="AE269" s="22"/>
      <c r="AF269" s="22"/>
      <c r="AG269" s="22"/>
      <c r="AH269" s="22"/>
      <c r="AI269" s="22"/>
      <c r="AJ269" s="22"/>
      <c r="AK269" s="22"/>
      <c r="AL269" s="22"/>
      <c r="AM269" s="22"/>
      <c r="AO269" s="22"/>
      <c r="AP269" s="22"/>
      <c r="AQ269" s="22"/>
      <c r="AR269" s="72"/>
    </row>
    <row r="270" spans="1:44" x14ac:dyDescent="0.45">
      <c r="A270" s="147">
        <f t="shared" ref="A270:A286" si="454">+A269+1</f>
        <v>262</v>
      </c>
      <c r="C270" s="21" t="s">
        <v>764</v>
      </c>
      <c r="E270" s="22">
        <f>+E117</f>
        <v>70463026</v>
      </c>
      <c r="G270" s="22">
        <f t="shared" ref="G270:K270" si="455">+G117</f>
        <v>17731.139742120344</v>
      </c>
      <c r="H270" s="22">
        <f t="shared" si="455"/>
        <v>29977.074785100289</v>
      </c>
      <c r="I270" s="22">
        <f t="shared" si="455"/>
        <v>192864.54426934099</v>
      </c>
      <c r="J270" s="22">
        <f t="shared" si="455"/>
        <v>0</v>
      </c>
      <c r="K270" s="22">
        <f t="shared" si="455"/>
        <v>70222453.241203442</v>
      </c>
      <c r="L270" s="72"/>
      <c r="O270" s="13"/>
      <c r="P270" s="13"/>
      <c r="Q270" s="13"/>
      <c r="R270" s="13"/>
      <c r="S270" s="13"/>
      <c r="T270" s="13"/>
      <c r="U270" s="13"/>
      <c r="V270" s="13"/>
      <c r="W270" s="13"/>
      <c r="Y270" s="22"/>
      <c r="Z270" s="22"/>
      <c r="AA270" s="22"/>
      <c r="AB270" s="72"/>
      <c r="AE270" s="22"/>
      <c r="AF270" s="22"/>
      <c r="AG270" s="22"/>
      <c r="AH270" s="22"/>
      <c r="AI270" s="22"/>
      <c r="AJ270" s="22"/>
      <c r="AK270" s="22"/>
      <c r="AL270" s="22"/>
      <c r="AM270" s="22"/>
      <c r="AO270" s="22"/>
      <c r="AP270" s="22"/>
      <c r="AQ270" s="22"/>
    </row>
    <row r="271" spans="1:44" x14ac:dyDescent="0.45">
      <c r="A271" s="147">
        <f t="shared" si="454"/>
        <v>263</v>
      </c>
      <c r="C271" s="21" t="s">
        <v>765</v>
      </c>
      <c r="E271" s="22">
        <f>-E61</f>
        <v>-400792</v>
      </c>
      <c r="G271" s="22">
        <f t="shared" ref="G271:K271" si="456">-G61</f>
        <v>-6890.4068767908311</v>
      </c>
      <c r="H271" s="22">
        <f t="shared" si="456"/>
        <v>-5742.0057306590261</v>
      </c>
      <c r="I271" s="22">
        <f t="shared" si="456"/>
        <v>-19522.819484240688</v>
      </c>
      <c r="J271" s="22">
        <f t="shared" si="456"/>
        <v>0</v>
      </c>
      <c r="K271" s="22">
        <f t="shared" si="456"/>
        <v>-368636.76790830947</v>
      </c>
      <c r="L271" s="72"/>
      <c r="O271" s="13"/>
      <c r="P271" s="13"/>
      <c r="Q271" s="13"/>
      <c r="R271" s="13"/>
      <c r="S271" s="13"/>
      <c r="T271" s="13"/>
      <c r="U271" s="13"/>
      <c r="V271" s="13"/>
      <c r="W271" s="13"/>
      <c r="Y271" s="22"/>
      <c r="Z271" s="22"/>
      <c r="AA271" s="22"/>
      <c r="AB271" s="72"/>
      <c r="AE271" s="22"/>
      <c r="AF271" s="22"/>
      <c r="AG271" s="22"/>
      <c r="AH271" s="22"/>
      <c r="AI271" s="22"/>
      <c r="AJ271" s="22"/>
      <c r="AK271" s="22"/>
      <c r="AL271" s="22"/>
      <c r="AM271" s="22"/>
      <c r="AO271" s="22"/>
      <c r="AP271" s="22"/>
      <c r="AQ271" s="22"/>
    </row>
    <row r="272" spans="1:44" x14ac:dyDescent="0.45">
      <c r="A272" s="147">
        <f t="shared" si="454"/>
        <v>264</v>
      </c>
      <c r="C272" s="21" t="s">
        <v>766</v>
      </c>
      <c r="E272" s="22">
        <f>E270+E271</f>
        <v>70062234</v>
      </c>
      <c r="G272" s="22">
        <f t="shared" ref="G272:K272" si="457">G270+G271</f>
        <v>10840.732865329512</v>
      </c>
      <c r="H272" s="22">
        <f t="shared" si="457"/>
        <v>24235.069054441265</v>
      </c>
      <c r="I272" s="22">
        <f t="shared" si="457"/>
        <v>173341.72478510029</v>
      </c>
      <c r="J272" s="22">
        <f t="shared" si="457"/>
        <v>0</v>
      </c>
      <c r="K272" s="22">
        <f t="shared" si="457"/>
        <v>69853816.473295137</v>
      </c>
      <c r="L272" s="72"/>
      <c r="O272" s="13"/>
      <c r="P272" s="13"/>
      <c r="Q272" s="13"/>
      <c r="R272" s="13"/>
      <c r="S272" s="13"/>
      <c r="T272" s="13"/>
      <c r="U272" s="13"/>
      <c r="V272" s="13"/>
      <c r="W272" s="13"/>
      <c r="Y272" s="22"/>
      <c r="Z272" s="22"/>
      <c r="AA272" s="22"/>
      <c r="AB272" s="72"/>
      <c r="AE272" s="22"/>
      <c r="AF272" s="22"/>
      <c r="AG272" s="22"/>
      <c r="AH272" s="22"/>
      <c r="AI272" s="22"/>
      <c r="AJ272" s="22"/>
      <c r="AK272" s="22"/>
      <c r="AL272" s="22"/>
      <c r="AM272" s="22"/>
      <c r="AO272" s="22"/>
      <c r="AP272" s="22"/>
      <c r="AQ272" s="22"/>
    </row>
    <row r="273" spans="1:43" x14ac:dyDescent="0.45">
      <c r="A273" s="147">
        <f t="shared" si="454"/>
        <v>265</v>
      </c>
      <c r="C273" s="21" t="s">
        <v>769</v>
      </c>
      <c r="E273" s="13">
        <f>IFERROR(E272/$E$272,0)</f>
        <v>1</v>
      </c>
      <c r="F273" s="118">
        <v>104</v>
      </c>
      <c r="G273" s="13">
        <f>IFERROR(G272/$E$272,0)</f>
        <v>1.5473004850701037E-4</v>
      </c>
      <c r="H273" s="13">
        <f t="shared" ref="H273:K273" si="458">IFERROR(H272/$E$272,0)</f>
        <v>3.4590774045887922E-4</v>
      </c>
      <c r="I273" s="13">
        <f t="shared" si="458"/>
        <v>2.4741107282576845E-3</v>
      </c>
      <c r="J273" s="13">
        <f t="shared" si="458"/>
        <v>0</v>
      </c>
      <c r="K273" s="13">
        <f t="shared" si="458"/>
        <v>0.99702525148277654</v>
      </c>
      <c r="L273" s="72"/>
      <c r="O273" s="13"/>
      <c r="P273" s="13"/>
      <c r="Q273" s="13"/>
      <c r="R273" s="13"/>
      <c r="S273" s="13"/>
      <c r="T273" s="13"/>
      <c r="U273" s="13"/>
      <c r="V273" s="13"/>
      <c r="W273" s="13"/>
      <c r="Y273" s="22"/>
      <c r="Z273" s="22"/>
      <c r="AA273" s="22"/>
      <c r="AB273" s="72"/>
      <c r="AE273" s="22"/>
      <c r="AF273" s="22"/>
      <c r="AG273" s="22"/>
      <c r="AH273" s="22"/>
      <c r="AI273" s="22"/>
      <c r="AJ273" s="22"/>
      <c r="AK273" s="22"/>
      <c r="AL273" s="22"/>
      <c r="AM273" s="22"/>
      <c r="AO273" s="22"/>
      <c r="AP273" s="22"/>
      <c r="AQ273" s="22"/>
    </row>
    <row r="274" spans="1:43" x14ac:dyDescent="0.45">
      <c r="A274" s="147">
        <f t="shared" si="454"/>
        <v>266</v>
      </c>
      <c r="C274" s="21" t="s">
        <v>767</v>
      </c>
      <c r="E274" s="22">
        <f>-(E85+E86)</f>
        <v>-68352807</v>
      </c>
      <c r="G274" s="22">
        <f t="shared" ref="G274:K274" si="459">-(G85+G86)</f>
        <v>0</v>
      </c>
      <c r="H274" s="22">
        <f t="shared" si="459"/>
        <v>0</v>
      </c>
      <c r="I274" s="22">
        <f t="shared" si="459"/>
        <v>0</v>
      </c>
      <c r="J274" s="22">
        <f t="shared" si="459"/>
        <v>0</v>
      </c>
      <c r="K274" s="22">
        <f t="shared" si="459"/>
        <v>-68352807</v>
      </c>
      <c r="L274" s="72"/>
      <c r="O274" s="13"/>
      <c r="P274" s="13"/>
      <c r="Q274" s="13"/>
      <c r="R274" s="13"/>
      <c r="S274" s="13"/>
      <c r="T274" s="13"/>
      <c r="U274" s="13"/>
      <c r="V274" s="13"/>
      <c r="W274" s="13"/>
      <c r="Y274" s="22"/>
      <c r="Z274" s="22"/>
      <c r="AA274" s="22"/>
      <c r="AB274" s="72"/>
      <c r="AE274" s="22"/>
      <c r="AF274" s="22"/>
      <c r="AG274" s="22"/>
      <c r="AH274" s="22"/>
      <c r="AI274" s="22"/>
      <c r="AJ274" s="22"/>
      <c r="AK274" s="22"/>
      <c r="AL274" s="22"/>
      <c r="AM274" s="22"/>
      <c r="AO274" s="22"/>
      <c r="AP274" s="22"/>
      <c r="AQ274" s="22"/>
    </row>
    <row r="275" spans="1:43" x14ac:dyDescent="0.45">
      <c r="A275" s="147">
        <f t="shared" si="454"/>
        <v>267</v>
      </c>
      <c r="C275" s="21" t="s">
        <v>768</v>
      </c>
      <c r="E275" s="22">
        <f>E272+E274</f>
        <v>1709427</v>
      </c>
      <c r="G275" s="22">
        <f t="shared" ref="G275:K275" si="460">G272+G274</f>
        <v>10840.732865329512</v>
      </c>
      <c r="H275" s="22">
        <f t="shared" si="460"/>
        <v>24235.069054441265</v>
      </c>
      <c r="I275" s="22">
        <f t="shared" si="460"/>
        <v>173341.72478510029</v>
      </c>
      <c r="J275" s="22">
        <f t="shared" si="460"/>
        <v>0</v>
      </c>
      <c r="K275" s="22">
        <f t="shared" si="460"/>
        <v>1501009.4732951373</v>
      </c>
      <c r="L275" s="72"/>
      <c r="O275" s="13"/>
      <c r="P275" s="13"/>
      <c r="Q275" s="13"/>
      <c r="R275" s="13"/>
      <c r="S275" s="13"/>
      <c r="T275" s="13"/>
      <c r="U275" s="13"/>
      <c r="V275" s="13"/>
      <c r="W275" s="13"/>
      <c r="Y275" s="22"/>
      <c r="Z275" s="22"/>
      <c r="AA275" s="22"/>
      <c r="AB275" s="72"/>
      <c r="AE275" s="22"/>
      <c r="AF275" s="22"/>
      <c r="AG275" s="22"/>
      <c r="AH275" s="22"/>
      <c r="AI275" s="22"/>
      <c r="AJ275" s="22"/>
      <c r="AK275" s="22"/>
      <c r="AL275" s="22"/>
      <c r="AM275" s="22"/>
      <c r="AO275" s="22"/>
      <c r="AP275" s="22"/>
      <c r="AQ275" s="22"/>
    </row>
    <row r="276" spans="1:43" x14ac:dyDescent="0.45">
      <c r="A276" s="147">
        <f t="shared" si="454"/>
        <v>268</v>
      </c>
      <c r="C276" s="21" t="s">
        <v>770</v>
      </c>
      <c r="E276" s="13">
        <f>IFERROR(E275/$E$275,0)</f>
        <v>1</v>
      </c>
      <c r="F276" s="135">
        <v>105</v>
      </c>
      <c r="G276" s="13">
        <f t="shared" ref="G276:K276" si="461">IFERROR(G275/$E$275,0)</f>
        <v>6.3417349002499153E-3</v>
      </c>
      <c r="H276" s="13">
        <f t="shared" si="461"/>
        <v>1.4177305643611143E-2</v>
      </c>
      <c r="I276" s="13">
        <f t="shared" si="461"/>
        <v>0.10140340873585142</v>
      </c>
      <c r="J276" s="13">
        <f t="shared" si="461"/>
        <v>0</v>
      </c>
      <c r="K276" s="13">
        <f t="shared" si="461"/>
        <v>0.87807755072029237</v>
      </c>
      <c r="L276" s="72"/>
      <c r="O276" s="22"/>
      <c r="P276" s="22"/>
      <c r="Q276" s="22"/>
      <c r="R276" s="22"/>
      <c r="S276" s="22"/>
      <c r="T276" s="22"/>
      <c r="U276" s="22"/>
      <c r="V276" s="22"/>
      <c r="W276" s="22"/>
      <c r="Y276" s="22"/>
      <c r="Z276" s="22"/>
      <c r="AA276" s="22"/>
      <c r="AB276" s="72"/>
      <c r="AE276" s="22"/>
      <c r="AF276" s="22"/>
      <c r="AG276" s="22"/>
      <c r="AH276" s="22"/>
      <c r="AI276" s="22"/>
      <c r="AJ276" s="22"/>
      <c r="AK276" s="22"/>
      <c r="AL276" s="22"/>
      <c r="AM276" s="22"/>
      <c r="AO276" s="22"/>
      <c r="AP276" s="22"/>
      <c r="AQ276" s="22"/>
    </row>
    <row r="277" spans="1:43" x14ac:dyDescent="0.45">
      <c r="A277" s="147">
        <f t="shared" si="454"/>
        <v>269</v>
      </c>
    </row>
    <row r="278" spans="1:43" x14ac:dyDescent="0.45">
      <c r="A278" s="147">
        <f t="shared" si="454"/>
        <v>270</v>
      </c>
    </row>
    <row r="279" spans="1:43" x14ac:dyDescent="0.45">
      <c r="A279" s="147">
        <f t="shared" si="454"/>
        <v>271</v>
      </c>
      <c r="C279" s="86" t="s">
        <v>197</v>
      </c>
    </row>
    <row r="280" spans="1:43" x14ac:dyDescent="0.45">
      <c r="A280" s="147">
        <f t="shared" si="454"/>
        <v>272</v>
      </c>
      <c r="C280" s="21" t="s">
        <v>194</v>
      </c>
      <c r="G280" s="1">
        <f>+Debt!G20</f>
        <v>147940.54</v>
      </c>
      <c r="H280" s="1">
        <f>+Debt!G26</f>
        <v>1162308.3500000001</v>
      </c>
      <c r="I280" s="1">
        <f>+Debt!G32</f>
        <v>698315.44</v>
      </c>
      <c r="J280" s="1">
        <f>+Debt!G38</f>
        <v>0</v>
      </c>
    </row>
    <row r="281" spans="1:43" x14ac:dyDescent="0.45">
      <c r="A281" s="147">
        <f t="shared" si="454"/>
        <v>273</v>
      </c>
      <c r="C281" s="21" t="s">
        <v>2</v>
      </c>
      <c r="G281" s="1">
        <f>+G260</f>
        <v>292219</v>
      </c>
      <c r="H281" s="1">
        <f>+H260</f>
        <v>843832</v>
      </c>
      <c r="I281" s="1">
        <f>+I260</f>
        <v>1083466</v>
      </c>
      <c r="J281" s="1">
        <f>+J260</f>
        <v>0</v>
      </c>
    </row>
    <row r="282" spans="1:43" x14ac:dyDescent="0.45">
      <c r="A282" s="147">
        <f t="shared" si="454"/>
        <v>274</v>
      </c>
      <c r="C282" s="21" t="s">
        <v>0</v>
      </c>
      <c r="G282" s="1">
        <f>G280+G281</f>
        <v>440159.54000000004</v>
      </c>
      <c r="H282" s="1">
        <f t="shared" ref="H282:I282" si="462">H280+H281</f>
        <v>2006140.35</v>
      </c>
      <c r="I282" s="1">
        <f t="shared" si="462"/>
        <v>1781781.44</v>
      </c>
      <c r="J282" s="1">
        <f>J280+J281</f>
        <v>0</v>
      </c>
    </row>
    <row r="283" spans="1:43" x14ac:dyDescent="0.45">
      <c r="A283" s="147">
        <f t="shared" si="454"/>
        <v>275</v>
      </c>
      <c r="C283" s="21" t="s">
        <v>198</v>
      </c>
      <c r="G283" s="134">
        <v>1.5</v>
      </c>
      <c r="H283" s="134">
        <v>1.5</v>
      </c>
      <c r="I283" s="134">
        <v>1.5</v>
      </c>
      <c r="J283" s="134">
        <v>1.5</v>
      </c>
    </row>
    <row r="284" spans="1:43" x14ac:dyDescent="0.45">
      <c r="A284" s="147">
        <f t="shared" si="454"/>
        <v>276</v>
      </c>
      <c r="C284" s="21" t="s">
        <v>735</v>
      </c>
      <c r="G284" s="1">
        <f>G282*G283</f>
        <v>660239.31000000006</v>
      </c>
      <c r="H284" s="1">
        <f t="shared" ref="H284:I284" si="463">H282*H283</f>
        <v>3009210.5250000004</v>
      </c>
      <c r="I284" s="1">
        <f t="shared" si="463"/>
        <v>2672672.16</v>
      </c>
      <c r="J284" s="1">
        <f>J282*J283</f>
        <v>0</v>
      </c>
    </row>
    <row r="285" spans="1:43" x14ac:dyDescent="0.45">
      <c r="A285" s="147">
        <f t="shared" si="454"/>
        <v>277</v>
      </c>
      <c r="C285" s="21" t="s">
        <v>195</v>
      </c>
      <c r="G285" s="1">
        <f>-(G235+G238)</f>
        <v>-294627</v>
      </c>
      <c r="H285" s="1">
        <f>-(H235+H238)</f>
        <v>-698971.55</v>
      </c>
      <c r="I285" s="1">
        <f>-(I235+I238)</f>
        <v>-1229888.3599999999</v>
      </c>
      <c r="J285" s="1">
        <f>-(J235+J238)</f>
        <v>0</v>
      </c>
    </row>
    <row r="286" spans="1:43" x14ac:dyDescent="0.45">
      <c r="A286" s="147">
        <f t="shared" si="454"/>
        <v>278</v>
      </c>
      <c r="C286" s="21" t="s">
        <v>196</v>
      </c>
      <c r="G286" s="1">
        <f>-G281</f>
        <v>-292219</v>
      </c>
      <c r="H286" s="1">
        <f t="shared" ref="H286:I286" si="464">-H281</f>
        <v>-843832</v>
      </c>
      <c r="I286" s="1">
        <f t="shared" si="464"/>
        <v>-1083466</v>
      </c>
      <c r="J286" s="1">
        <f>-J281</f>
        <v>0</v>
      </c>
    </row>
    <row r="287" spans="1:43" x14ac:dyDescent="0.45">
      <c r="A287" s="118">
        <f t="shared" ref="A287" si="465">+A286+1</f>
        <v>279</v>
      </c>
      <c r="C287" s="21" t="s">
        <v>16</v>
      </c>
      <c r="G287" s="1">
        <f>SUM(G284:G286)</f>
        <v>73393.310000000056</v>
      </c>
      <c r="H287" s="1">
        <f t="shared" ref="H287:I287" si="466">SUM(H284:H286)</f>
        <v>1466406.9750000006</v>
      </c>
      <c r="I287" s="1">
        <f t="shared" si="466"/>
        <v>359317.80000000028</v>
      </c>
      <c r="J287" s="1">
        <f>SUM(J284:J286)</f>
        <v>0</v>
      </c>
    </row>
    <row r="289" spans="1:44" x14ac:dyDescent="0.45">
      <c r="A289" t="s">
        <v>837</v>
      </c>
    </row>
    <row r="290" spans="1:44" x14ac:dyDescent="0.45">
      <c r="A290" t="s">
        <v>835</v>
      </c>
      <c r="E290" s="22"/>
    </row>
    <row r="291" spans="1:44" x14ac:dyDescent="0.45">
      <c r="E291" s="22"/>
    </row>
    <row r="293" spans="1:44" x14ac:dyDescent="0.45">
      <c r="E293" s="22"/>
      <c r="AR293" s="8"/>
    </row>
    <row r="294" spans="1:44" x14ac:dyDescent="0.45">
      <c r="E294" s="22"/>
    </row>
    <row r="295" spans="1:44" x14ac:dyDescent="0.45">
      <c r="E295" s="22"/>
    </row>
    <row r="296" spans="1:44" x14ac:dyDescent="0.45">
      <c r="E296" s="22"/>
    </row>
    <row r="299" spans="1:44" x14ac:dyDescent="0.45">
      <c r="E299" s="22"/>
    </row>
    <row r="300" spans="1:44" x14ac:dyDescent="0.45">
      <c r="E300" s="22"/>
      <c r="F300" s="8"/>
      <c r="G300" s="1"/>
      <c r="H300" s="1"/>
      <c r="I300" s="1"/>
      <c r="J300" s="1"/>
      <c r="K300" s="1"/>
      <c r="L300" s="8"/>
      <c r="AB300" s="8"/>
    </row>
  </sheetData>
  <mergeCells count="11">
    <mergeCell ref="G5:J5"/>
    <mergeCell ref="A1:K1"/>
    <mergeCell ref="A2:K2"/>
    <mergeCell ref="O6:P6"/>
    <mergeCell ref="AK6:AL6"/>
    <mergeCell ref="Q6:R6"/>
    <mergeCell ref="S6:T6"/>
    <mergeCell ref="U6:V6"/>
    <mergeCell ref="AE6:AF6"/>
    <mergeCell ref="AG6:AH6"/>
    <mergeCell ref="AI6:AJ6"/>
  </mergeCells>
  <printOptions horizontalCentered="1"/>
  <pageMargins left="0" right="0" top="0.75" bottom="0.75" header="0.3" footer="0.3"/>
  <pageSetup scale="49" orientation="landscape" r:id="rId1"/>
  <headerFooter>
    <oddHeader xml:space="preserve">&amp;RSchedule C-1.0
</oddHeader>
    <oddFooter>&amp;RPage &amp;P of &amp;N</oddFooter>
  </headerFooter>
  <rowBreaks count="4" manualBreakCount="4">
    <brk id="58" max="16383" man="1"/>
    <brk id="117" max="16383" man="1"/>
    <brk id="177" max="42" man="1"/>
    <brk id="229" max="16383" man="1"/>
  </rowBreaks>
  <colBreaks count="2" manualBreakCount="2">
    <brk id="11" max="1048575" man="1"/>
    <brk id="29" max="1048575" man="1"/>
  </colBreaks>
  <ignoredErrors>
    <ignoredError sqref="E238 E247 L206 E142:E144 E146:E150 E62:E64 E66:E68 E160:E162 E164 E206 E70 E166:E170 E256 E78 E72:E76" formulaRange="1"/>
    <ignoredError sqref="E82:E84 E95:E105 E86 E88:E90 E109:E113 E80 E107" formula="1" formulaRange="1"/>
    <ignoredError sqref="E91:E94 E165 K235:K23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U82"/>
  <sheetViews>
    <sheetView topLeftCell="A55" zoomScale="101" zoomScaleNormal="100" workbookViewId="0">
      <selection activeCell="C85" sqref="C85"/>
    </sheetView>
  </sheetViews>
  <sheetFormatPr defaultRowHeight="14.25" x14ac:dyDescent="0.45"/>
  <cols>
    <col min="1" max="1" width="4.265625" style="59" customWidth="1"/>
    <col min="2" max="2" width="7.265625" style="59" bestFit="1" customWidth="1"/>
    <col min="3" max="3" width="66.73046875" style="59" bestFit="1" customWidth="1"/>
    <col min="4" max="13" width="12.73046875" style="59" customWidth="1"/>
    <col min="14" max="14" width="12.86328125" style="59" bestFit="1" customWidth="1"/>
    <col min="15" max="15" width="14.265625" style="59" bestFit="1" customWidth="1"/>
    <col min="16" max="16" width="13.59765625" style="59" bestFit="1" customWidth="1"/>
    <col min="17" max="17" width="8.59765625" style="59" bestFit="1" customWidth="1"/>
    <col min="18" max="19" width="10.86328125" style="59" bestFit="1" customWidth="1"/>
    <col min="20" max="20" width="9.1328125" style="59"/>
    <col min="21" max="21" width="9.3984375" style="59" bestFit="1" customWidth="1"/>
    <col min="22" max="246" width="9.1328125" style="59"/>
    <col min="247" max="247" width="5.73046875" style="59" customWidth="1"/>
    <col min="248" max="248" width="26.73046875" style="59" customWidth="1"/>
    <col min="249" max="250" width="11.73046875" style="59" customWidth="1"/>
    <col min="251" max="251" width="1.73046875" style="59" customWidth="1"/>
    <col min="252" max="252" width="13" style="59" customWidth="1"/>
    <col min="253" max="253" width="11.86328125" style="59" customWidth="1"/>
    <col min="254" max="254" width="11.3984375" style="59" customWidth="1"/>
    <col min="255" max="255" width="1.73046875" style="59" customWidth="1"/>
    <col min="256" max="256" width="14.265625" style="59" bestFit="1" customWidth="1"/>
    <col min="257" max="257" width="15.86328125" style="59" bestFit="1" customWidth="1"/>
    <col min="258" max="258" width="11.1328125" style="59" customWidth="1"/>
    <col min="259" max="259" width="1.73046875" style="59" customWidth="1"/>
    <col min="260" max="260" width="14.1328125" style="59" bestFit="1" customWidth="1"/>
    <col min="261" max="261" width="14.265625" style="59" bestFit="1" customWidth="1"/>
    <col min="262" max="262" width="11.1328125" style="59" customWidth="1"/>
    <col min="263" max="502" width="9.1328125" style="59"/>
    <col min="503" max="503" width="5.73046875" style="59" customWidth="1"/>
    <col min="504" max="504" width="26.73046875" style="59" customWidth="1"/>
    <col min="505" max="506" width="11.73046875" style="59" customWidth="1"/>
    <col min="507" max="507" width="1.73046875" style="59" customWidth="1"/>
    <col min="508" max="508" width="13" style="59" customWidth="1"/>
    <col min="509" max="509" width="11.86328125" style="59" customWidth="1"/>
    <col min="510" max="510" width="11.3984375" style="59" customWidth="1"/>
    <col min="511" max="511" width="1.73046875" style="59" customWidth="1"/>
    <col min="512" max="512" width="14.265625" style="59" bestFit="1" customWidth="1"/>
    <col min="513" max="513" width="15.86328125" style="59" bestFit="1" customWidth="1"/>
    <col min="514" max="514" width="11.1328125" style="59" customWidth="1"/>
    <col min="515" max="515" width="1.73046875" style="59" customWidth="1"/>
    <col min="516" max="516" width="14.1328125" style="59" bestFit="1" customWidth="1"/>
    <col min="517" max="517" width="14.265625" style="59" bestFit="1" customWidth="1"/>
    <col min="518" max="518" width="11.1328125" style="59" customWidth="1"/>
    <col min="519" max="758" width="9.1328125" style="59"/>
    <col min="759" max="759" width="5.73046875" style="59" customWidth="1"/>
    <col min="760" max="760" width="26.73046875" style="59" customWidth="1"/>
    <col min="761" max="762" width="11.73046875" style="59" customWidth="1"/>
    <col min="763" max="763" width="1.73046875" style="59" customWidth="1"/>
    <col min="764" max="764" width="13" style="59" customWidth="1"/>
    <col min="765" max="765" width="11.86328125" style="59" customWidth="1"/>
    <col min="766" max="766" width="11.3984375" style="59" customWidth="1"/>
    <col min="767" max="767" width="1.73046875" style="59" customWidth="1"/>
    <col min="768" max="768" width="14.265625" style="59" bestFit="1" customWidth="1"/>
    <col min="769" max="769" width="15.86328125" style="59" bestFit="1" customWidth="1"/>
    <col min="770" max="770" width="11.1328125" style="59" customWidth="1"/>
    <col min="771" max="771" width="1.73046875" style="59" customWidth="1"/>
    <col min="772" max="772" width="14.1328125" style="59" bestFit="1" customWidth="1"/>
    <col min="773" max="773" width="14.265625" style="59" bestFit="1" customWidth="1"/>
    <col min="774" max="774" width="11.1328125" style="59" customWidth="1"/>
    <col min="775" max="1014" width="9.1328125" style="59"/>
    <col min="1015" max="1015" width="5.73046875" style="59" customWidth="1"/>
    <col min="1016" max="1016" width="26.73046875" style="59" customWidth="1"/>
    <col min="1017" max="1018" width="11.73046875" style="59" customWidth="1"/>
    <col min="1019" max="1019" width="1.73046875" style="59" customWidth="1"/>
    <col min="1020" max="1020" width="13" style="59" customWidth="1"/>
    <col min="1021" max="1021" width="11.86328125" style="59" customWidth="1"/>
    <col min="1022" max="1022" width="11.3984375" style="59" customWidth="1"/>
    <col min="1023" max="1023" width="1.73046875" style="59" customWidth="1"/>
    <col min="1024" max="1024" width="14.265625" style="59" bestFit="1" customWidth="1"/>
    <col min="1025" max="1025" width="15.86328125" style="59" bestFit="1" customWidth="1"/>
    <col min="1026" max="1026" width="11.1328125" style="59" customWidth="1"/>
    <col min="1027" max="1027" width="1.73046875" style="59" customWidth="1"/>
    <col min="1028" max="1028" width="14.1328125" style="59" bestFit="1" customWidth="1"/>
    <col min="1029" max="1029" width="14.265625" style="59" bestFit="1" customWidth="1"/>
    <col min="1030" max="1030" width="11.1328125" style="59" customWidth="1"/>
    <col min="1031" max="1270" width="9.1328125" style="59"/>
    <col min="1271" max="1271" width="5.73046875" style="59" customWidth="1"/>
    <col min="1272" max="1272" width="26.73046875" style="59" customWidth="1"/>
    <col min="1273" max="1274" width="11.73046875" style="59" customWidth="1"/>
    <col min="1275" max="1275" width="1.73046875" style="59" customWidth="1"/>
    <col min="1276" max="1276" width="13" style="59" customWidth="1"/>
    <col min="1277" max="1277" width="11.86328125" style="59" customWidth="1"/>
    <col min="1278" max="1278" width="11.3984375" style="59" customWidth="1"/>
    <col min="1279" max="1279" width="1.73046875" style="59" customWidth="1"/>
    <col min="1280" max="1280" width="14.265625" style="59" bestFit="1" customWidth="1"/>
    <col min="1281" max="1281" width="15.86328125" style="59" bestFit="1" customWidth="1"/>
    <col min="1282" max="1282" width="11.1328125" style="59" customWidth="1"/>
    <col min="1283" max="1283" width="1.73046875" style="59" customWidth="1"/>
    <col min="1284" max="1284" width="14.1328125" style="59" bestFit="1" customWidth="1"/>
    <col min="1285" max="1285" width="14.265625" style="59" bestFit="1" customWidth="1"/>
    <col min="1286" max="1286" width="11.1328125" style="59" customWidth="1"/>
    <col min="1287" max="1526" width="9.1328125" style="59"/>
    <col min="1527" max="1527" width="5.73046875" style="59" customWidth="1"/>
    <col min="1528" max="1528" width="26.73046875" style="59" customWidth="1"/>
    <col min="1529" max="1530" width="11.73046875" style="59" customWidth="1"/>
    <col min="1531" max="1531" width="1.73046875" style="59" customWidth="1"/>
    <col min="1532" max="1532" width="13" style="59" customWidth="1"/>
    <col min="1533" max="1533" width="11.86328125" style="59" customWidth="1"/>
    <col min="1534" max="1534" width="11.3984375" style="59" customWidth="1"/>
    <col min="1535" max="1535" width="1.73046875" style="59" customWidth="1"/>
    <col min="1536" max="1536" width="14.265625" style="59" bestFit="1" customWidth="1"/>
    <col min="1537" max="1537" width="15.86328125" style="59" bestFit="1" customWidth="1"/>
    <col min="1538" max="1538" width="11.1328125" style="59" customWidth="1"/>
    <col min="1539" max="1539" width="1.73046875" style="59" customWidth="1"/>
    <col min="1540" max="1540" width="14.1328125" style="59" bestFit="1" customWidth="1"/>
    <col min="1541" max="1541" width="14.265625" style="59" bestFit="1" customWidth="1"/>
    <col min="1542" max="1542" width="11.1328125" style="59" customWidth="1"/>
    <col min="1543" max="1782" width="9.1328125" style="59"/>
    <col min="1783" max="1783" width="5.73046875" style="59" customWidth="1"/>
    <col min="1784" max="1784" width="26.73046875" style="59" customWidth="1"/>
    <col min="1785" max="1786" width="11.73046875" style="59" customWidth="1"/>
    <col min="1787" max="1787" width="1.73046875" style="59" customWidth="1"/>
    <col min="1788" max="1788" width="13" style="59" customWidth="1"/>
    <col min="1789" max="1789" width="11.86328125" style="59" customWidth="1"/>
    <col min="1790" max="1790" width="11.3984375" style="59" customWidth="1"/>
    <col min="1791" max="1791" width="1.73046875" style="59" customWidth="1"/>
    <col min="1792" max="1792" width="14.265625" style="59" bestFit="1" customWidth="1"/>
    <col min="1793" max="1793" width="15.86328125" style="59" bestFit="1" customWidth="1"/>
    <col min="1794" max="1794" width="11.1328125" style="59" customWidth="1"/>
    <col min="1795" max="1795" width="1.73046875" style="59" customWidth="1"/>
    <col min="1796" max="1796" width="14.1328125" style="59" bestFit="1" customWidth="1"/>
    <col min="1797" max="1797" width="14.265625" style="59" bestFit="1" customWidth="1"/>
    <col min="1798" max="1798" width="11.1328125" style="59" customWidth="1"/>
    <col min="1799" max="2038" width="9.1328125" style="59"/>
    <col min="2039" max="2039" width="5.73046875" style="59" customWidth="1"/>
    <col min="2040" max="2040" width="26.73046875" style="59" customWidth="1"/>
    <col min="2041" max="2042" width="11.73046875" style="59" customWidth="1"/>
    <col min="2043" max="2043" width="1.73046875" style="59" customWidth="1"/>
    <col min="2044" max="2044" width="13" style="59" customWidth="1"/>
    <col min="2045" max="2045" width="11.86328125" style="59" customWidth="1"/>
    <col min="2046" max="2046" width="11.3984375" style="59" customWidth="1"/>
    <col min="2047" max="2047" width="1.73046875" style="59" customWidth="1"/>
    <col min="2048" max="2048" width="14.265625" style="59" bestFit="1" customWidth="1"/>
    <col min="2049" max="2049" width="15.86328125" style="59" bestFit="1" customWidth="1"/>
    <col min="2050" max="2050" width="11.1328125" style="59" customWidth="1"/>
    <col min="2051" max="2051" width="1.73046875" style="59" customWidth="1"/>
    <col min="2052" max="2052" width="14.1328125" style="59" bestFit="1" customWidth="1"/>
    <col min="2053" max="2053" width="14.265625" style="59" bestFit="1" customWidth="1"/>
    <col min="2054" max="2054" width="11.1328125" style="59" customWidth="1"/>
    <col min="2055" max="2294" width="9.1328125" style="59"/>
    <col min="2295" max="2295" width="5.73046875" style="59" customWidth="1"/>
    <col min="2296" max="2296" width="26.73046875" style="59" customWidth="1"/>
    <col min="2297" max="2298" width="11.73046875" style="59" customWidth="1"/>
    <col min="2299" max="2299" width="1.73046875" style="59" customWidth="1"/>
    <col min="2300" max="2300" width="13" style="59" customWidth="1"/>
    <col min="2301" max="2301" width="11.86328125" style="59" customWidth="1"/>
    <col min="2302" max="2302" width="11.3984375" style="59" customWidth="1"/>
    <col min="2303" max="2303" width="1.73046875" style="59" customWidth="1"/>
    <col min="2304" max="2304" width="14.265625" style="59" bestFit="1" customWidth="1"/>
    <col min="2305" max="2305" width="15.86328125" style="59" bestFit="1" customWidth="1"/>
    <col min="2306" max="2306" width="11.1328125" style="59" customWidth="1"/>
    <col min="2307" max="2307" width="1.73046875" style="59" customWidth="1"/>
    <col min="2308" max="2308" width="14.1328125" style="59" bestFit="1" customWidth="1"/>
    <col min="2309" max="2309" width="14.265625" style="59" bestFit="1" customWidth="1"/>
    <col min="2310" max="2310" width="11.1328125" style="59" customWidth="1"/>
    <col min="2311" max="2550" width="9.1328125" style="59"/>
    <col min="2551" max="2551" width="5.73046875" style="59" customWidth="1"/>
    <col min="2552" max="2552" width="26.73046875" style="59" customWidth="1"/>
    <col min="2553" max="2554" width="11.73046875" style="59" customWidth="1"/>
    <col min="2555" max="2555" width="1.73046875" style="59" customWidth="1"/>
    <col min="2556" max="2556" width="13" style="59" customWidth="1"/>
    <col min="2557" max="2557" width="11.86328125" style="59" customWidth="1"/>
    <col min="2558" max="2558" width="11.3984375" style="59" customWidth="1"/>
    <col min="2559" max="2559" width="1.73046875" style="59" customWidth="1"/>
    <col min="2560" max="2560" width="14.265625" style="59" bestFit="1" customWidth="1"/>
    <col min="2561" max="2561" width="15.86328125" style="59" bestFit="1" customWidth="1"/>
    <col min="2562" max="2562" width="11.1328125" style="59" customWidth="1"/>
    <col min="2563" max="2563" width="1.73046875" style="59" customWidth="1"/>
    <col min="2564" max="2564" width="14.1328125" style="59" bestFit="1" customWidth="1"/>
    <col min="2565" max="2565" width="14.265625" style="59" bestFit="1" customWidth="1"/>
    <col min="2566" max="2566" width="11.1328125" style="59" customWidth="1"/>
    <col min="2567" max="2806" width="9.1328125" style="59"/>
    <col min="2807" max="2807" width="5.73046875" style="59" customWidth="1"/>
    <col min="2808" max="2808" width="26.73046875" style="59" customWidth="1"/>
    <col min="2809" max="2810" width="11.73046875" style="59" customWidth="1"/>
    <col min="2811" max="2811" width="1.73046875" style="59" customWidth="1"/>
    <col min="2812" max="2812" width="13" style="59" customWidth="1"/>
    <col min="2813" max="2813" width="11.86328125" style="59" customWidth="1"/>
    <col min="2814" max="2814" width="11.3984375" style="59" customWidth="1"/>
    <col min="2815" max="2815" width="1.73046875" style="59" customWidth="1"/>
    <col min="2816" max="2816" width="14.265625" style="59" bestFit="1" customWidth="1"/>
    <col min="2817" max="2817" width="15.86328125" style="59" bestFit="1" customWidth="1"/>
    <col min="2818" max="2818" width="11.1328125" style="59" customWidth="1"/>
    <col min="2819" max="2819" width="1.73046875" style="59" customWidth="1"/>
    <col min="2820" max="2820" width="14.1328125" style="59" bestFit="1" customWidth="1"/>
    <col min="2821" max="2821" width="14.265625" style="59" bestFit="1" customWidth="1"/>
    <col min="2822" max="2822" width="11.1328125" style="59" customWidth="1"/>
    <col min="2823" max="3062" width="9.1328125" style="59"/>
    <col min="3063" max="3063" width="5.73046875" style="59" customWidth="1"/>
    <col min="3064" max="3064" width="26.73046875" style="59" customWidth="1"/>
    <col min="3065" max="3066" width="11.73046875" style="59" customWidth="1"/>
    <col min="3067" max="3067" width="1.73046875" style="59" customWidth="1"/>
    <col min="3068" max="3068" width="13" style="59" customWidth="1"/>
    <col min="3069" max="3069" width="11.86328125" style="59" customWidth="1"/>
    <col min="3070" max="3070" width="11.3984375" style="59" customWidth="1"/>
    <col min="3071" max="3071" width="1.73046875" style="59" customWidth="1"/>
    <col min="3072" max="3072" width="14.265625" style="59" bestFit="1" customWidth="1"/>
    <col min="3073" max="3073" width="15.86328125" style="59" bestFit="1" customWidth="1"/>
    <col min="3074" max="3074" width="11.1328125" style="59" customWidth="1"/>
    <col min="3075" max="3075" width="1.73046875" style="59" customWidth="1"/>
    <col min="3076" max="3076" width="14.1328125" style="59" bestFit="1" customWidth="1"/>
    <col min="3077" max="3077" width="14.265625" style="59" bestFit="1" customWidth="1"/>
    <col min="3078" max="3078" width="11.1328125" style="59" customWidth="1"/>
    <col min="3079" max="3318" width="9.1328125" style="59"/>
    <col min="3319" max="3319" width="5.73046875" style="59" customWidth="1"/>
    <col min="3320" max="3320" width="26.73046875" style="59" customWidth="1"/>
    <col min="3321" max="3322" width="11.73046875" style="59" customWidth="1"/>
    <col min="3323" max="3323" width="1.73046875" style="59" customWidth="1"/>
    <col min="3324" max="3324" width="13" style="59" customWidth="1"/>
    <col min="3325" max="3325" width="11.86328125" style="59" customWidth="1"/>
    <col min="3326" max="3326" width="11.3984375" style="59" customWidth="1"/>
    <col min="3327" max="3327" width="1.73046875" style="59" customWidth="1"/>
    <col min="3328" max="3328" width="14.265625" style="59" bestFit="1" customWidth="1"/>
    <col min="3329" max="3329" width="15.86328125" style="59" bestFit="1" customWidth="1"/>
    <col min="3330" max="3330" width="11.1328125" style="59" customWidth="1"/>
    <col min="3331" max="3331" width="1.73046875" style="59" customWidth="1"/>
    <col min="3332" max="3332" width="14.1328125" style="59" bestFit="1" customWidth="1"/>
    <col min="3333" max="3333" width="14.265625" style="59" bestFit="1" customWidth="1"/>
    <col min="3334" max="3334" width="11.1328125" style="59" customWidth="1"/>
    <col min="3335" max="3574" width="9.1328125" style="59"/>
    <col min="3575" max="3575" width="5.73046875" style="59" customWidth="1"/>
    <col min="3576" max="3576" width="26.73046875" style="59" customWidth="1"/>
    <col min="3577" max="3578" width="11.73046875" style="59" customWidth="1"/>
    <col min="3579" max="3579" width="1.73046875" style="59" customWidth="1"/>
    <col min="3580" max="3580" width="13" style="59" customWidth="1"/>
    <col min="3581" max="3581" width="11.86328125" style="59" customWidth="1"/>
    <col min="3582" max="3582" width="11.3984375" style="59" customWidth="1"/>
    <col min="3583" max="3583" width="1.73046875" style="59" customWidth="1"/>
    <col min="3584" max="3584" width="14.265625" style="59" bestFit="1" customWidth="1"/>
    <col min="3585" max="3585" width="15.86328125" style="59" bestFit="1" customWidth="1"/>
    <col min="3586" max="3586" width="11.1328125" style="59" customWidth="1"/>
    <col min="3587" max="3587" width="1.73046875" style="59" customWidth="1"/>
    <col min="3588" max="3588" width="14.1328125" style="59" bestFit="1" customWidth="1"/>
    <col min="3589" max="3589" width="14.265625" style="59" bestFit="1" customWidth="1"/>
    <col min="3590" max="3590" width="11.1328125" style="59" customWidth="1"/>
    <col min="3591" max="3830" width="9.1328125" style="59"/>
    <col min="3831" max="3831" width="5.73046875" style="59" customWidth="1"/>
    <col min="3832" max="3832" width="26.73046875" style="59" customWidth="1"/>
    <col min="3833" max="3834" width="11.73046875" style="59" customWidth="1"/>
    <col min="3835" max="3835" width="1.73046875" style="59" customWidth="1"/>
    <col min="3836" max="3836" width="13" style="59" customWidth="1"/>
    <col min="3837" max="3837" width="11.86328125" style="59" customWidth="1"/>
    <col min="3838" max="3838" width="11.3984375" style="59" customWidth="1"/>
    <col min="3839" max="3839" width="1.73046875" style="59" customWidth="1"/>
    <col min="3840" max="3840" width="14.265625" style="59" bestFit="1" customWidth="1"/>
    <col min="3841" max="3841" width="15.86328125" style="59" bestFit="1" customWidth="1"/>
    <col min="3842" max="3842" width="11.1328125" style="59" customWidth="1"/>
    <col min="3843" max="3843" width="1.73046875" style="59" customWidth="1"/>
    <col min="3844" max="3844" width="14.1328125" style="59" bestFit="1" customWidth="1"/>
    <col min="3845" max="3845" width="14.265625" style="59" bestFit="1" customWidth="1"/>
    <col min="3846" max="3846" width="11.1328125" style="59" customWidth="1"/>
    <col min="3847" max="4086" width="9.1328125" style="59"/>
    <col min="4087" max="4087" width="5.73046875" style="59" customWidth="1"/>
    <col min="4088" max="4088" width="26.73046875" style="59" customWidth="1"/>
    <col min="4089" max="4090" width="11.73046875" style="59" customWidth="1"/>
    <col min="4091" max="4091" width="1.73046875" style="59" customWidth="1"/>
    <col min="4092" max="4092" width="13" style="59" customWidth="1"/>
    <col min="4093" max="4093" width="11.86328125" style="59" customWidth="1"/>
    <col min="4094" max="4094" width="11.3984375" style="59" customWidth="1"/>
    <col min="4095" max="4095" width="1.73046875" style="59" customWidth="1"/>
    <col min="4096" max="4096" width="14.265625" style="59" bestFit="1" customWidth="1"/>
    <col min="4097" max="4097" width="15.86328125" style="59" bestFit="1" customWidth="1"/>
    <col min="4098" max="4098" width="11.1328125" style="59" customWidth="1"/>
    <col min="4099" max="4099" width="1.73046875" style="59" customWidth="1"/>
    <col min="4100" max="4100" width="14.1328125" style="59" bestFit="1" customWidth="1"/>
    <col min="4101" max="4101" width="14.265625" style="59" bestFit="1" customWidth="1"/>
    <col min="4102" max="4102" width="11.1328125" style="59" customWidth="1"/>
    <col min="4103" max="4342" width="9.1328125" style="59"/>
    <col min="4343" max="4343" width="5.73046875" style="59" customWidth="1"/>
    <col min="4344" max="4344" width="26.73046875" style="59" customWidth="1"/>
    <col min="4345" max="4346" width="11.73046875" style="59" customWidth="1"/>
    <col min="4347" max="4347" width="1.73046875" style="59" customWidth="1"/>
    <col min="4348" max="4348" width="13" style="59" customWidth="1"/>
    <col min="4349" max="4349" width="11.86328125" style="59" customWidth="1"/>
    <col min="4350" max="4350" width="11.3984375" style="59" customWidth="1"/>
    <col min="4351" max="4351" width="1.73046875" style="59" customWidth="1"/>
    <col min="4352" max="4352" width="14.265625" style="59" bestFit="1" customWidth="1"/>
    <col min="4353" max="4353" width="15.86328125" style="59" bestFit="1" customWidth="1"/>
    <col min="4354" max="4354" width="11.1328125" style="59" customWidth="1"/>
    <col min="4355" max="4355" width="1.73046875" style="59" customWidth="1"/>
    <col min="4356" max="4356" width="14.1328125" style="59" bestFit="1" customWidth="1"/>
    <col min="4357" max="4357" width="14.265625" style="59" bestFit="1" customWidth="1"/>
    <col min="4358" max="4358" width="11.1328125" style="59" customWidth="1"/>
    <col min="4359" max="4598" width="9.1328125" style="59"/>
    <col min="4599" max="4599" width="5.73046875" style="59" customWidth="1"/>
    <col min="4600" max="4600" width="26.73046875" style="59" customWidth="1"/>
    <col min="4601" max="4602" width="11.73046875" style="59" customWidth="1"/>
    <col min="4603" max="4603" width="1.73046875" style="59" customWidth="1"/>
    <col min="4604" max="4604" width="13" style="59" customWidth="1"/>
    <col min="4605" max="4605" width="11.86328125" style="59" customWidth="1"/>
    <col min="4606" max="4606" width="11.3984375" style="59" customWidth="1"/>
    <col min="4607" max="4607" width="1.73046875" style="59" customWidth="1"/>
    <col min="4608" max="4608" width="14.265625" style="59" bestFit="1" customWidth="1"/>
    <col min="4609" max="4609" width="15.86328125" style="59" bestFit="1" customWidth="1"/>
    <col min="4610" max="4610" width="11.1328125" style="59" customWidth="1"/>
    <col min="4611" max="4611" width="1.73046875" style="59" customWidth="1"/>
    <col min="4612" max="4612" width="14.1328125" style="59" bestFit="1" customWidth="1"/>
    <col min="4613" max="4613" width="14.265625" style="59" bestFit="1" customWidth="1"/>
    <col min="4614" max="4614" width="11.1328125" style="59" customWidth="1"/>
    <col min="4615" max="4854" width="9.1328125" style="59"/>
    <col min="4855" max="4855" width="5.73046875" style="59" customWidth="1"/>
    <col min="4856" max="4856" width="26.73046875" style="59" customWidth="1"/>
    <col min="4857" max="4858" width="11.73046875" style="59" customWidth="1"/>
    <col min="4859" max="4859" width="1.73046875" style="59" customWidth="1"/>
    <col min="4860" max="4860" width="13" style="59" customWidth="1"/>
    <col min="4861" max="4861" width="11.86328125" style="59" customWidth="1"/>
    <col min="4862" max="4862" width="11.3984375" style="59" customWidth="1"/>
    <col min="4863" max="4863" width="1.73046875" style="59" customWidth="1"/>
    <col min="4864" max="4864" width="14.265625" style="59" bestFit="1" customWidth="1"/>
    <col min="4865" max="4865" width="15.86328125" style="59" bestFit="1" customWidth="1"/>
    <col min="4866" max="4866" width="11.1328125" style="59" customWidth="1"/>
    <col min="4867" max="4867" width="1.73046875" style="59" customWidth="1"/>
    <col min="4868" max="4868" width="14.1328125" style="59" bestFit="1" customWidth="1"/>
    <col min="4869" max="4869" width="14.265625" style="59" bestFit="1" customWidth="1"/>
    <col min="4870" max="4870" width="11.1328125" style="59" customWidth="1"/>
    <col min="4871" max="5110" width="9.1328125" style="59"/>
    <col min="5111" max="5111" width="5.73046875" style="59" customWidth="1"/>
    <col min="5112" max="5112" width="26.73046875" style="59" customWidth="1"/>
    <col min="5113" max="5114" width="11.73046875" style="59" customWidth="1"/>
    <col min="5115" max="5115" width="1.73046875" style="59" customWidth="1"/>
    <col min="5116" max="5116" width="13" style="59" customWidth="1"/>
    <col min="5117" max="5117" width="11.86328125" style="59" customWidth="1"/>
    <col min="5118" max="5118" width="11.3984375" style="59" customWidth="1"/>
    <col min="5119" max="5119" width="1.73046875" style="59" customWidth="1"/>
    <col min="5120" max="5120" width="14.265625" style="59" bestFit="1" customWidth="1"/>
    <col min="5121" max="5121" width="15.86328125" style="59" bestFit="1" customWidth="1"/>
    <col min="5122" max="5122" width="11.1328125" style="59" customWidth="1"/>
    <col min="5123" max="5123" width="1.73046875" style="59" customWidth="1"/>
    <col min="5124" max="5124" width="14.1328125" style="59" bestFit="1" customWidth="1"/>
    <col min="5125" max="5125" width="14.265625" style="59" bestFit="1" customWidth="1"/>
    <col min="5126" max="5126" width="11.1328125" style="59" customWidth="1"/>
    <col min="5127" max="5366" width="9.1328125" style="59"/>
    <col min="5367" max="5367" width="5.73046875" style="59" customWidth="1"/>
    <col min="5368" max="5368" width="26.73046875" style="59" customWidth="1"/>
    <col min="5369" max="5370" width="11.73046875" style="59" customWidth="1"/>
    <col min="5371" max="5371" width="1.73046875" style="59" customWidth="1"/>
    <col min="5372" max="5372" width="13" style="59" customWidth="1"/>
    <col min="5373" max="5373" width="11.86328125" style="59" customWidth="1"/>
    <col min="5374" max="5374" width="11.3984375" style="59" customWidth="1"/>
    <col min="5375" max="5375" width="1.73046875" style="59" customWidth="1"/>
    <col min="5376" max="5376" width="14.265625" style="59" bestFit="1" customWidth="1"/>
    <col min="5377" max="5377" width="15.86328125" style="59" bestFit="1" customWidth="1"/>
    <col min="5378" max="5378" width="11.1328125" style="59" customWidth="1"/>
    <col min="5379" max="5379" width="1.73046875" style="59" customWidth="1"/>
    <col min="5380" max="5380" width="14.1328125" style="59" bestFit="1" customWidth="1"/>
    <col min="5381" max="5381" width="14.265625" style="59" bestFit="1" customWidth="1"/>
    <col min="5382" max="5382" width="11.1328125" style="59" customWidth="1"/>
    <col min="5383" max="5622" width="9.1328125" style="59"/>
    <col min="5623" max="5623" width="5.73046875" style="59" customWidth="1"/>
    <col min="5624" max="5624" width="26.73046875" style="59" customWidth="1"/>
    <col min="5625" max="5626" width="11.73046875" style="59" customWidth="1"/>
    <col min="5627" max="5627" width="1.73046875" style="59" customWidth="1"/>
    <col min="5628" max="5628" width="13" style="59" customWidth="1"/>
    <col min="5629" max="5629" width="11.86328125" style="59" customWidth="1"/>
    <col min="5630" max="5630" width="11.3984375" style="59" customWidth="1"/>
    <col min="5631" max="5631" width="1.73046875" style="59" customWidth="1"/>
    <col min="5632" max="5632" width="14.265625" style="59" bestFit="1" customWidth="1"/>
    <col min="5633" max="5633" width="15.86328125" style="59" bestFit="1" customWidth="1"/>
    <col min="5634" max="5634" width="11.1328125" style="59" customWidth="1"/>
    <col min="5635" max="5635" width="1.73046875" style="59" customWidth="1"/>
    <col min="5636" max="5636" width="14.1328125" style="59" bestFit="1" customWidth="1"/>
    <col min="5637" max="5637" width="14.265625" style="59" bestFit="1" customWidth="1"/>
    <col min="5638" max="5638" width="11.1328125" style="59" customWidth="1"/>
    <col min="5639" max="5878" width="9.1328125" style="59"/>
    <col min="5879" max="5879" width="5.73046875" style="59" customWidth="1"/>
    <col min="5880" max="5880" width="26.73046875" style="59" customWidth="1"/>
    <col min="5881" max="5882" width="11.73046875" style="59" customWidth="1"/>
    <col min="5883" max="5883" width="1.73046875" style="59" customWidth="1"/>
    <col min="5884" max="5884" width="13" style="59" customWidth="1"/>
    <col min="5885" max="5885" width="11.86328125" style="59" customWidth="1"/>
    <col min="5886" max="5886" width="11.3984375" style="59" customWidth="1"/>
    <col min="5887" max="5887" width="1.73046875" style="59" customWidth="1"/>
    <col min="5888" max="5888" width="14.265625" style="59" bestFit="1" customWidth="1"/>
    <col min="5889" max="5889" width="15.86328125" style="59" bestFit="1" customWidth="1"/>
    <col min="5890" max="5890" width="11.1328125" style="59" customWidth="1"/>
    <col min="5891" max="5891" width="1.73046875" style="59" customWidth="1"/>
    <col min="5892" max="5892" width="14.1328125" style="59" bestFit="1" customWidth="1"/>
    <col min="5893" max="5893" width="14.265625" style="59" bestFit="1" customWidth="1"/>
    <col min="5894" max="5894" width="11.1328125" style="59" customWidth="1"/>
    <col min="5895" max="6134" width="9.1328125" style="59"/>
    <col min="6135" max="6135" width="5.73046875" style="59" customWidth="1"/>
    <col min="6136" max="6136" width="26.73046875" style="59" customWidth="1"/>
    <col min="6137" max="6138" width="11.73046875" style="59" customWidth="1"/>
    <col min="6139" max="6139" width="1.73046875" style="59" customWidth="1"/>
    <col min="6140" max="6140" width="13" style="59" customWidth="1"/>
    <col min="6141" max="6141" width="11.86328125" style="59" customWidth="1"/>
    <col min="6142" max="6142" width="11.3984375" style="59" customWidth="1"/>
    <col min="6143" max="6143" width="1.73046875" style="59" customWidth="1"/>
    <col min="6144" max="6144" width="14.265625" style="59" bestFit="1" customWidth="1"/>
    <col min="6145" max="6145" width="15.86328125" style="59" bestFit="1" customWidth="1"/>
    <col min="6146" max="6146" width="11.1328125" style="59" customWidth="1"/>
    <col min="6147" max="6147" width="1.73046875" style="59" customWidth="1"/>
    <col min="6148" max="6148" width="14.1328125" style="59" bestFit="1" customWidth="1"/>
    <col min="6149" max="6149" width="14.265625" style="59" bestFit="1" customWidth="1"/>
    <col min="6150" max="6150" width="11.1328125" style="59" customWidth="1"/>
    <col min="6151" max="6390" width="9.1328125" style="59"/>
    <col min="6391" max="6391" width="5.73046875" style="59" customWidth="1"/>
    <col min="6392" max="6392" width="26.73046875" style="59" customWidth="1"/>
    <col min="6393" max="6394" width="11.73046875" style="59" customWidth="1"/>
    <col min="6395" max="6395" width="1.73046875" style="59" customWidth="1"/>
    <col min="6396" max="6396" width="13" style="59" customWidth="1"/>
    <col min="6397" max="6397" width="11.86328125" style="59" customWidth="1"/>
    <col min="6398" max="6398" width="11.3984375" style="59" customWidth="1"/>
    <col min="6399" max="6399" width="1.73046875" style="59" customWidth="1"/>
    <col min="6400" max="6400" width="14.265625" style="59" bestFit="1" customWidth="1"/>
    <col min="6401" max="6401" width="15.86328125" style="59" bestFit="1" customWidth="1"/>
    <col min="6402" max="6402" width="11.1328125" style="59" customWidth="1"/>
    <col min="6403" max="6403" width="1.73046875" style="59" customWidth="1"/>
    <col min="6404" max="6404" width="14.1328125" style="59" bestFit="1" customWidth="1"/>
    <col min="6405" max="6405" width="14.265625" style="59" bestFit="1" customWidth="1"/>
    <col min="6406" max="6406" width="11.1328125" style="59" customWidth="1"/>
    <col min="6407" max="6646" width="9.1328125" style="59"/>
    <col min="6647" max="6647" width="5.73046875" style="59" customWidth="1"/>
    <col min="6648" max="6648" width="26.73046875" style="59" customWidth="1"/>
    <col min="6649" max="6650" width="11.73046875" style="59" customWidth="1"/>
    <col min="6651" max="6651" width="1.73046875" style="59" customWidth="1"/>
    <col min="6652" max="6652" width="13" style="59" customWidth="1"/>
    <col min="6653" max="6653" width="11.86328125" style="59" customWidth="1"/>
    <col min="6654" max="6654" width="11.3984375" style="59" customWidth="1"/>
    <col min="6655" max="6655" width="1.73046875" style="59" customWidth="1"/>
    <col min="6656" max="6656" width="14.265625" style="59" bestFit="1" customWidth="1"/>
    <col min="6657" max="6657" width="15.86328125" style="59" bestFit="1" customWidth="1"/>
    <col min="6658" max="6658" width="11.1328125" style="59" customWidth="1"/>
    <col min="6659" max="6659" width="1.73046875" style="59" customWidth="1"/>
    <col min="6660" max="6660" width="14.1328125" style="59" bestFit="1" customWidth="1"/>
    <col min="6661" max="6661" width="14.265625" style="59" bestFit="1" customWidth="1"/>
    <col min="6662" max="6662" width="11.1328125" style="59" customWidth="1"/>
    <col min="6663" max="6902" width="9.1328125" style="59"/>
    <col min="6903" max="6903" width="5.73046875" style="59" customWidth="1"/>
    <col min="6904" max="6904" width="26.73046875" style="59" customWidth="1"/>
    <col min="6905" max="6906" width="11.73046875" style="59" customWidth="1"/>
    <col min="6907" max="6907" width="1.73046875" style="59" customWidth="1"/>
    <col min="6908" max="6908" width="13" style="59" customWidth="1"/>
    <col min="6909" max="6909" width="11.86328125" style="59" customWidth="1"/>
    <col min="6910" max="6910" width="11.3984375" style="59" customWidth="1"/>
    <col min="6911" max="6911" width="1.73046875" style="59" customWidth="1"/>
    <col min="6912" max="6912" width="14.265625" style="59" bestFit="1" customWidth="1"/>
    <col min="6913" max="6913" width="15.86328125" style="59" bestFit="1" customWidth="1"/>
    <col min="6914" max="6914" width="11.1328125" style="59" customWidth="1"/>
    <col min="6915" max="6915" width="1.73046875" style="59" customWidth="1"/>
    <col min="6916" max="6916" width="14.1328125" style="59" bestFit="1" customWidth="1"/>
    <col min="6917" max="6917" width="14.265625" style="59" bestFit="1" customWidth="1"/>
    <col min="6918" max="6918" width="11.1328125" style="59" customWidth="1"/>
    <col min="6919" max="7158" width="9.1328125" style="59"/>
    <col min="7159" max="7159" width="5.73046875" style="59" customWidth="1"/>
    <col min="7160" max="7160" width="26.73046875" style="59" customWidth="1"/>
    <col min="7161" max="7162" width="11.73046875" style="59" customWidth="1"/>
    <col min="7163" max="7163" width="1.73046875" style="59" customWidth="1"/>
    <col min="7164" max="7164" width="13" style="59" customWidth="1"/>
    <col min="7165" max="7165" width="11.86328125" style="59" customWidth="1"/>
    <col min="7166" max="7166" width="11.3984375" style="59" customWidth="1"/>
    <col min="7167" max="7167" width="1.73046875" style="59" customWidth="1"/>
    <col min="7168" max="7168" width="14.265625" style="59" bestFit="1" customWidth="1"/>
    <col min="7169" max="7169" width="15.86328125" style="59" bestFit="1" customWidth="1"/>
    <col min="7170" max="7170" width="11.1328125" style="59" customWidth="1"/>
    <col min="7171" max="7171" width="1.73046875" style="59" customWidth="1"/>
    <col min="7172" max="7172" width="14.1328125" style="59" bestFit="1" customWidth="1"/>
    <col min="7173" max="7173" width="14.265625" style="59" bestFit="1" customWidth="1"/>
    <col min="7174" max="7174" width="11.1328125" style="59" customWidth="1"/>
    <col min="7175" max="7414" width="9.1328125" style="59"/>
    <col min="7415" max="7415" width="5.73046875" style="59" customWidth="1"/>
    <col min="7416" max="7416" width="26.73046875" style="59" customWidth="1"/>
    <col min="7417" max="7418" width="11.73046875" style="59" customWidth="1"/>
    <col min="7419" max="7419" width="1.73046875" style="59" customWidth="1"/>
    <col min="7420" max="7420" width="13" style="59" customWidth="1"/>
    <col min="7421" max="7421" width="11.86328125" style="59" customWidth="1"/>
    <col min="7422" max="7422" width="11.3984375" style="59" customWidth="1"/>
    <col min="7423" max="7423" width="1.73046875" style="59" customWidth="1"/>
    <col min="7424" max="7424" width="14.265625" style="59" bestFit="1" customWidth="1"/>
    <col min="7425" max="7425" width="15.86328125" style="59" bestFit="1" customWidth="1"/>
    <col min="7426" max="7426" width="11.1328125" style="59" customWidth="1"/>
    <col min="7427" max="7427" width="1.73046875" style="59" customWidth="1"/>
    <col min="7428" max="7428" width="14.1328125" style="59" bestFit="1" customWidth="1"/>
    <col min="7429" max="7429" width="14.265625" style="59" bestFit="1" customWidth="1"/>
    <col min="7430" max="7430" width="11.1328125" style="59" customWidth="1"/>
    <col min="7431" max="7670" width="9.1328125" style="59"/>
    <col min="7671" max="7671" width="5.73046875" style="59" customWidth="1"/>
    <col min="7672" max="7672" width="26.73046875" style="59" customWidth="1"/>
    <col min="7673" max="7674" width="11.73046875" style="59" customWidth="1"/>
    <col min="7675" max="7675" width="1.73046875" style="59" customWidth="1"/>
    <col min="7676" max="7676" width="13" style="59" customWidth="1"/>
    <col min="7677" max="7677" width="11.86328125" style="59" customWidth="1"/>
    <col min="7678" max="7678" width="11.3984375" style="59" customWidth="1"/>
    <col min="7679" max="7679" width="1.73046875" style="59" customWidth="1"/>
    <col min="7680" max="7680" width="14.265625" style="59" bestFit="1" customWidth="1"/>
    <col min="7681" max="7681" width="15.86328125" style="59" bestFit="1" customWidth="1"/>
    <col min="7682" max="7682" width="11.1328125" style="59" customWidth="1"/>
    <col min="7683" max="7683" width="1.73046875" style="59" customWidth="1"/>
    <col min="7684" max="7684" width="14.1328125" style="59" bestFit="1" customWidth="1"/>
    <col min="7685" max="7685" width="14.265625" style="59" bestFit="1" customWidth="1"/>
    <col min="7686" max="7686" width="11.1328125" style="59" customWidth="1"/>
    <col min="7687" max="7926" width="9.1328125" style="59"/>
    <col min="7927" max="7927" width="5.73046875" style="59" customWidth="1"/>
    <col min="7928" max="7928" width="26.73046875" style="59" customWidth="1"/>
    <col min="7929" max="7930" width="11.73046875" style="59" customWidth="1"/>
    <col min="7931" max="7931" width="1.73046875" style="59" customWidth="1"/>
    <col min="7932" max="7932" width="13" style="59" customWidth="1"/>
    <col min="7933" max="7933" width="11.86328125" style="59" customWidth="1"/>
    <col min="7934" max="7934" width="11.3984375" style="59" customWidth="1"/>
    <col min="7935" max="7935" width="1.73046875" style="59" customWidth="1"/>
    <col min="7936" max="7936" width="14.265625" style="59" bestFit="1" customWidth="1"/>
    <col min="7937" max="7937" width="15.86328125" style="59" bestFit="1" customWidth="1"/>
    <col min="7938" max="7938" width="11.1328125" style="59" customWidth="1"/>
    <col min="7939" max="7939" width="1.73046875" style="59" customWidth="1"/>
    <col min="7940" max="7940" width="14.1328125" style="59" bestFit="1" customWidth="1"/>
    <col min="7941" max="7941" width="14.265625" style="59" bestFit="1" customWidth="1"/>
    <col min="7942" max="7942" width="11.1328125" style="59" customWidth="1"/>
    <col min="7943" max="8182" width="9.1328125" style="59"/>
    <col min="8183" max="8183" width="5.73046875" style="59" customWidth="1"/>
    <col min="8184" max="8184" width="26.73046875" style="59" customWidth="1"/>
    <col min="8185" max="8186" width="11.73046875" style="59" customWidth="1"/>
    <col min="8187" max="8187" width="1.73046875" style="59" customWidth="1"/>
    <col min="8188" max="8188" width="13" style="59" customWidth="1"/>
    <col min="8189" max="8189" width="11.86328125" style="59" customWidth="1"/>
    <col min="8190" max="8190" width="11.3984375" style="59" customWidth="1"/>
    <col min="8191" max="8191" width="1.73046875" style="59" customWidth="1"/>
    <col min="8192" max="8192" width="14.265625" style="59" bestFit="1" customWidth="1"/>
    <col min="8193" max="8193" width="15.86328125" style="59" bestFit="1" customWidth="1"/>
    <col min="8194" max="8194" width="11.1328125" style="59" customWidth="1"/>
    <col min="8195" max="8195" width="1.73046875" style="59" customWidth="1"/>
    <col min="8196" max="8196" width="14.1328125" style="59" bestFit="1" customWidth="1"/>
    <col min="8197" max="8197" width="14.265625" style="59" bestFit="1" customWidth="1"/>
    <col min="8198" max="8198" width="11.1328125" style="59" customWidth="1"/>
    <col min="8199" max="8438" width="9.1328125" style="59"/>
    <col min="8439" max="8439" width="5.73046875" style="59" customWidth="1"/>
    <col min="8440" max="8440" width="26.73046875" style="59" customWidth="1"/>
    <col min="8441" max="8442" width="11.73046875" style="59" customWidth="1"/>
    <col min="8443" max="8443" width="1.73046875" style="59" customWidth="1"/>
    <col min="8444" max="8444" width="13" style="59" customWidth="1"/>
    <col min="8445" max="8445" width="11.86328125" style="59" customWidth="1"/>
    <col min="8446" max="8446" width="11.3984375" style="59" customWidth="1"/>
    <col min="8447" max="8447" width="1.73046875" style="59" customWidth="1"/>
    <col min="8448" max="8448" width="14.265625" style="59" bestFit="1" customWidth="1"/>
    <col min="8449" max="8449" width="15.86328125" style="59" bestFit="1" customWidth="1"/>
    <col min="8450" max="8450" width="11.1328125" style="59" customWidth="1"/>
    <col min="8451" max="8451" width="1.73046875" style="59" customWidth="1"/>
    <col min="8452" max="8452" width="14.1328125" style="59" bestFit="1" customWidth="1"/>
    <col min="8453" max="8453" width="14.265625" style="59" bestFit="1" customWidth="1"/>
    <col min="8454" max="8454" width="11.1328125" style="59" customWidth="1"/>
    <col min="8455" max="8694" width="9.1328125" style="59"/>
    <col min="8695" max="8695" width="5.73046875" style="59" customWidth="1"/>
    <col min="8696" max="8696" width="26.73046875" style="59" customWidth="1"/>
    <col min="8697" max="8698" width="11.73046875" style="59" customWidth="1"/>
    <col min="8699" max="8699" width="1.73046875" style="59" customWidth="1"/>
    <col min="8700" max="8700" width="13" style="59" customWidth="1"/>
    <col min="8701" max="8701" width="11.86328125" style="59" customWidth="1"/>
    <col min="8702" max="8702" width="11.3984375" style="59" customWidth="1"/>
    <col min="8703" max="8703" width="1.73046875" style="59" customWidth="1"/>
    <col min="8704" max="8704" width="14.265625" style="59" bestFit="1" customWidth="1"/>
    <col min="8705" max="8705" width="15.86328125" style="59" bestFit="1" customWidth="1"/>
    <col min="8706" max="8706" width="11.1328125" style="59" customWidth="1"/>
    <col min="8707" max="8707" width="1.73046875" style="59" customWidth="1"/>
    <col min="8708" max="8708" width="14.1328125" style="59" bestFit="1" customWidth="1"/>
    <col min="8709" max="8709" width="14.265625" style="59" bestFit="1" customWidth="1"/>
    <col min="8710" max="8710" width="11.1328125" style="59" customWidth="1"/>
    <col min="8711" max="8950" width="9.1328125" style="59"/>
    <col min="8951" max="8951" width="5.73046875" style="59" customWidth="1"/>
    <col min="8952" max="8952" width="26.73046875" style="59" customWidth="1"/>
    <col min="8953" max="8954" width="11.73046875" style="59" customWidth="1"/>
    <col min="8955" max="8955" width="1.73046875" style="59" customWidth="1"/>
    <col min="8956" max="8956" width="13" style="59" customWidth="1"/>
    <col min="8957" max="8957" width="11.86328125" style="59" customWidth="1"/>
    <col min="8958" max="8958" width="11.3984375" style="59" customWidth="1"/>
    <col min="8959" max="8959" width="1.73046875" style="59" customWidth="1"/>
    <col min="8960" max="8960" width="14.265625" style="59" bestFit="1" customWidth="1"/>
    <col min="8961" max="8961" width="15.86328125" style="59" bestFit="1" customWidth="1"/>
    <col min="8962" max="8962" width="11.1328125" style="59" customWidth="1"/>
    <col min="8963" max="8963" width="1.73046875" style="59" customWidth="1"/>
    <col min="8964" max="8964" width="14.1328125" style="59" bestFit="1" customWidth="1"/>
    <col min="8965" max="8965" width="14.265625" style="59" bestFit="1" customWidth="1"/>
    <col min="8966" max="8966" width="11.1328125" style="59" customWidth="1"/>
    <col min="8967" max="9206" width="9.1328125" style="59"/>
    <col min="9207" max="9207" width="5.73046875" style="59" customWidth="1"/>
    <col min="9208" max="9208" width="26.73046875" style="59" customWidth="1"/>
    <col min="9209" max="9210" width="11.73046875" style="59" customWidth="1"/>
    <col min="9211" max="9211" width="1.73046875" style="59" customWidth="1"/>
    <col min="9212" max="9212" width="13" style="59" customWidth="1"/>
    <col min="9213" max="9213" width="11.86328125" style="59" customWidth="1"/>
    <col min="9214" max="9214" width="11.3984375" style="59" customWidth="1"/>
    <col min="9215" max="9215" width="1.73046875" style="59" customWidth="1"/>
    <col min="9216" max="9216" width="14.265625" style="59" bestFit="1" customWidth="1"/>
    <col min="9217" max="9217" width="15.86328125" style="59" bestFit="1" customWidth="1"/>
    <col min="9218" max="9218" width="11.1328125" style="59" customWidth="1"/>
    <col min="9219" max="9219" width="1.73046875" style="59" customWidth="1"/>
    <col min="9220" max="9220" width="14.1328125" style="59" bestFit="1" customWidth="1"/>
    <col min="9221" max="9221" width="14.265625" style="59" bestFit="1" customWidth="1"/>
    <col min="9222" max="9222" width="11.1328125" style="59" customWidth="1"/>
    <col min="9223" max="9462" width="9.1328125" style="59"/>
    <col min="9463" max="9463" width="5.73046875" style="59" customWidth="1"/>
    <col min="9464" max="9464" width="26.73046875" style="59" customWidth="1"/>
    <col min="9465" max="9466" width="11.73046875" style="59" customWidth="1"/>
    <col min="9467" max="9467" width="1.73046875" style="59" customWidth="1"/>
    <col min="9468" max="9468" width="13" style="59" customWidth="1"/>
    <col min="9469" max="9469" width="11.86328125" style="59" customWidth="1"/>
    <col min="9470" max="9470" width="11.3984375" style="59" customWidth="1"/>
    <col min="9471" max="9471" width="1.73046875" style="59" customWidth="1"/>
    <col min="9472" max="9472" width="14.265625" style="59" bestFit="1" customWidth="1"/>
    <col min="9473" max="9473" width="15.86328125" style="59" bestFit="1" customWidth="1"/>
    <col min="9474" max="9474" width="11.1328125" style="59" customWidth="1"/>
    <col min="9475" max="9475" width="1.73046875" style="59" customWidth="1"/>
    <col min="9476" max="9476" width="14.1328125" style="59" bestFit="1" customWidth="1"/>
    <col min="9477" max="9477" width="14.265625" style="59" bestFit="1" customWidth="1"/>
    <col min="9478" max="9478" width="11.1328125" style="59" customWidth="1"/>
    <col min="9479" max="9718" width="9.1328125" style="59"/>
    <col min="9719" max="9719" width="5.73046875" style="59" customWidth="1"/>
    <col min="9720" max="9720" width="26.73046875" style="59" customWidth="1"/>
    <col min="9721" max="9722" width="11.73046875" style="59" customWidth="1"/>
    <col min="9723" max="9723" width="1.73046875" style="59" customWidth="1"/>
    <col min="9724" max="9724" width="13" style="59" customWidth="1"/>
    <col min="9725" max="9725" width="11.86328125" style="59" customWidth="1"/>
    <col min="9726" max="9726" width="11.3984375" style="59" customWidth="1"/>
    <col min="9727" max="9727" width="1.73046875" style="59" customWidth="1"/>
    <col min="9728" max="9728" width="14.265625" style="59" bestFit="1" customWidth="1"/>
    <col min="9729" max="9729" width="15.86328125" style="59" bestFit="1" customWidth="1"/>
    <col min="9730" max="9730" width="11.1328125" style="59" customWidth="1"/>
    <col min="9731" max="9731" width="1.73046875" style="59" customWidth="1"/>
    <col min="9732" max="9732" width="14.1328125" style="59" bestFit="1" customWidth="1"/>
    <col min="9733" max="9733" width="14.265625" style="59" bestFit="1" customWidth="1"/>
    <col min="9734" max="9734" width="11.1328125" style="59" customWidth="1"/>
    <col min="9735" max="9974" width="9.1328125" style="59"/>
    <col min="9975" max="9975" width="5.73046875" style="59" customWidth="1"/>
    <col min="9976" max="9976" width="26.73046875" style="59" customWidth="1"/>
    <col min="9977" max="9978" width="11.73046875" style="59" customWidth="1"/>
    <col min="9979" max="9979" width="1.73046875" style="59" customWidth="1"/>
    <col min="9980" max="9980" width="13" style="59" customWidth="1"/>
    <col min="9981" max="9981" width="11.86328125" style="59" customWidth="1"/>
    <col min="9982" max="9982" width="11.3984375" style="59" customWidth="1"/>
    <col min="9983" max="9983" width="1.73046875" style="59" customWidth="1"/>
    <col min="9984" max="9984" width="14.265625" style="59" bestFit="1" customWidth="1"/>
    <col min="9985" max="9985" width="15.86328125" style="59" bestFit="1" customWidth="1"/>
    <col min="9986" max="9986" width="11.1328125" style="59" customWidth="1"/>
    <col min="9987" max="9987" width="1.73046875" style="59" customWidth="1"/>
    <col min="9988" max="9988" width="14.1328125" style="59" bestFit="1" customWidth="1"/>
    <col min="9989" max="9989" width="14.265625" style="59" bestFit="1" customWidth="1"/>
    <col min="9990" max="9990" width="11.1328125" style="59" customWidth="1"/>
    <col min="9991" max="10230" width="9.1328125" style="59"/>
    <col min="10231" max="10231" width="5.73046875" style="59" customWidth="1"/>
    <col min="10232" max="10232" width="26.73046875" style="59" customWidth="1"/>
    <col min="10233" max="10234" width="11.73046875" style="59" customWidth="1"/>
    <col min="10235" max="10235" width="1.73046875" style="59" customWidth="1"/>
    <col min="10236" max="10236" width="13" style="59" customWidth="1"/>
    <col min="10237" max="10237" width="11.86328125" style="59" customWidth="1"/>
    <col min="10238" max="10238" width="11.3984375" style="59" customWidth="1"/>
    <col min="10239" max="10239" width="1.73046875" style="59" customWidth="1"/>
    <col min="10240" max="10240" width="14.265625" style="59" bestFit="1" customWidth="1"/>
    <col min="10241" max="10241" width="15.86328125" style="59" bestFit="1" customWidth="1"/>
    <col min="10242" max="10242" width="11.1328125" style="59" customWidth="1"/>
    <col min="10243" max="10243" width="1.73046875" style="59" customWidth="1"/>
    <col min="10244" max="10244" width="14.1328125" style="59" bestFit="1" customWidth="1"/>
    <col min="10245" max="10245" width="14.265625" style="59" bestFit="1" customWidth="1"/>
    <col min="10246" max="10246" width="11.1328125" style="59" customWidth="1"/>
    <col min="10247" max="10486" width="9.1328125" style="59"/>
    <col min="10487" max="10487" width="5.73046875" style="59" customWidth="1"/>
    <col min="10488" max="10488" width="26.73046875" style="59" customWidth="1"/>
    <col min="10489" max="10490" width="11.73046875" style="59" customWidth="1"/>
    <col min="10491" max="10491" width="1.73046875" style="59" customWidth="1"/>
    <col min="10492" max="10492" width="13" style="59" customWidth="1"/>
    <col min="10493" max="10493" width="11.86328125" style="59" customWidth="1"/>
    <col min="10494" max="10494" width="11.3984375" style="59" customWidth="1"/>
    <col min="10495" max="10495" width="1.73046875" style="59" customWidth="1"/>
    <col min="10496" max="10496" width="14.265625" style="59" bestFit="1" customWidth="1"/>
    <col min="10497" max="10497" width="15.86328125" style="59" bestFit="1" customWidth="1"/>
    <col min="10498" max="10498" width="11.1328125" style="59" customWidth="1"/>
    <col min="10499" max="10499" width="1.73046875" style="59" customWidth="1"/>
    <col min="10500" max="10500" width="14.1328125" style="59" bestFit="1" customWidth="1"/>
    <col min="10501" max="10501" width="14.265625" style="59" bestFit="1" customWidth="1"/>
    <col min="10502" max="10502" width="11.1328125" style="59" customWidth="1"/>
    <col min="10503" max="10742" width="9.1328125" style="59"/>
    <col min="10743" max="10743" width="5.73046875" style="59" customWidth="1"/>
    <col min="10744" max="10744" width="26.73046875" style="59" customWidth="1"/>
    <col min="10745" max="10746" width="11.73046875" style="59" customWidth="1"/>
    <col min="10747" max="10747" width="1.73046875" style="59" customWidth="1"/>
    <col min="10748" max="10748" width="13" style="59" customWidth="1"/>
    <col min="10749" max="10749" width="11.86328125" style="59" customWidth="1"/>
    <col min="10750" max="10750" width="11.3984375" style="59" customWidth="1"/>
    <col min="10751" max="10751" width="1.73046875" style="59" customWidth="1"/>
    <col min="10752" max="10752" width="14.265625" style="59" bestFit="1" customWidth="1"/>
    <col min="10753" max="10753" width="15.86328125" style="59" bestFit="1" customWidth="1"/>
    <col min="10754" max="10754" width="11.1328125" style="59" customWidth="1"/>
    <col min="10755" max="10755" width="1.73046875" style="59" customWidth="1"/>
    <col min="10756" max="10756" width="14.1328125" style="59" bestFit="1" customWidth="1"/>
    <col min="10757" max="10757" width="14.265625" style="59" bestFit="1" customWidth="1"/>
    <col min="10758" max="10758" width="11.1328125" style="59" customWidth="1"/>
    <col min="10759" max="10998" width="9.1328125" style="59"/>
    <col min="10999" max="10999" width="5.73046875" style="59" customWidth="1"/>
    <col min="11000" max="11000" width="26.73046875" style="59" customWidth="1"/>
    <col min="11001" max="11002" width="11.73046875" style="59" customWidth="1"/>
    <col min="11003" max="11003" width="1.73046875" style="59" customWidth="1"/>
    <col min="11004" max="11004" width="13" style="59" customWidth="1"/>
    <col min="11005" max="11005" width="11.86328125" style="59" customWidth="1"/>
    <col min="11006" max="11006" width="11.3984375" style="59" customWidth="1"/>
    <col min="11007" max="11007" width="1.73046875" style="59" customWidth="1"/>
    <col min="11008" max="11008" width="14.265625" style="59" bestFit="1" customWidth="1"/>
    <col min="11009" max="11009" width="15.86328125" style="59" bestFit="1" customWidth="1"/>
    <col min="11010" max="11010" width="11.1328125" style="59" customWidth="1"/>
    <col min="11011" max="11011" width="1.73046875" style="59" customWidth="1"/>
    <col min="11012" max="11012" width="14.1328125" style="59" bestFit="1" customWidth="1"/>
    <col min="11013" max="11013" width="14.265625" style="59" bestFit="1" customWidth="1"/>
    <col min="11014" max="11014" width="11.1328125" style="59" customWidth="1"/>
    <col min="11015" max="11254" width="9.1328125" style="59"/>
    <col min="11255" max="11255" width="5.73046875" style="59" customWidth="1"/>
    <col min="11256" max="11256" width="26.73046875" style="59" customWidth="1"/>
    <col min="11257" max="11258" width="11.73046875" style="59" customWidth="1"/>
    <col min="11259" max="11259" width="1.73046875" style="59" customWidth="1"/>
    <col min="11260" max="11260" width="13" style="59" customWidth="1"/>
    <col min="11261" max="11261" width="11.86328125" style="59" customWidth="1"/>
    <col min="11262" max="11262" width="11.3984375" style="59" customWidth="1"/>
    <col min="11263" max="11263" width="1.73046875" style="59" customWidth="1"/>
    <col min="11264" max="11264" width="14.265625" style="59" bestFit="1" customWidth="1"/>
    <col min="11265" max="11265" width="15.86328125" style="59" bestFit="1" customWidth="1"/>
    <col min="11266" max="11266" width="11.1328125" style="59" customWidth="1"/>
    <col min="11267" max="11267" width="1.73046875" style="59" customWidth="1"/>
    <col min="11268" max="11268" width="14.1328125" style="59" bestFit="1" customWidth="1"/>
    <col min="11269" max="11269" width="14.265625" style="59" bestFit="1" customWidth="1"/>
    <col min="11270" max="11270" width="11.1328125" style="59" customWidth="1"/>
    <col min="11271" max="11510" width="9.1328125" style="59"/>
    <col min="11511" max="11511" width="5.73046875" style="59" customWidth="1"/>
    <col min="11512" max="11512" width="26.73046875" style="59" customWidth="1"/>
    <col min="11513" max="11514" width="11.73046875" style="59" customWidth="1"/>
    <col min="11515" max="11515" width="1.73046875" style="59" customWidth="1"/>
    <col min="11516" max="11516" width="13" style="59" customWidth="1"/>
    <col min="11517" max="11517" width="11.86328125" style="59" customWidth="1"/>
    <col min="11518" max="11518" width="11.3984375" style="59" customWidth="1"/>
    <col min="11519" max="11519" width="1.73046875" style="59" customWidth="1"/>
    <col min="11520" max="11520" width="14.265625" style="59" bestFit="1" customWidth="1"/>
    <col min="11521" max="11521" width="15.86328125" style="59" bestFit="1" customWidth="1"/>
    <col min="11522" max="11522" width="11.1328125" style="59" customWidth="1"/>
    <col min="11523" max="11523" width="1.73046875" style="59" customWidth="1"/>
    <col min="11524" max="11524" width="14.1328125" style="59" bestFit="1" customWidth="1"/>
    <col min="11525" max="11525" width="14.265625" style="59" bestFit="1" customWidth="1"/>
    <col min="11526" max="11526" width="11.1328125" style="59" customWidth="1"/>
    <col min="11527" max="11766" width="9.1328125" style="59"/>
    <col min="11767" max="11767" width="5.73046875" style="59" customWidth="1"/>
    <col min="11768" max="11768" width="26.73046875" style="59" customWidth="1"/>
    <col min="11769" max="11770" width="11.73046875" style="59" customWidth="1"/>
    <col min="11771" max="11771" width="1.73046875" style="59" customWidth="1"/>
    <col min="11772" max="11772" width="13" style="59" customWidth="1"/>
    <col min="11773" max="11773" width="11.86328125" style="59" customWidth="1"/>
    <col min="11774" max="11774" width="11.3984375" style="59" customWidth="1"/>
    <col min="11775" max="11775" width="1.73046875" style="59" customWidth="1"/>
    <col min="11776" max="11776" width="14.265625" style="59" bestFit="1" customWidth="1"/>
    <col min="11777" max="11777" width="15.86328125" style="59" bestFit="1" customWidth="1"/>
    <col min="11778" max="11778" width="11.1328125" style="59" customWidth="1"/>
    <col min="11779" max="11779" width="1.73046875" style="59" customWidth="1"/>
    <col min="11780" max="11780" width="14.1328125" style="59" bestFit="1" customWidth="1"/>
    <col min="11781" max="11781" width="14.265625" style="59" bestFit="1" customWidth="1"/>
    <col min="11782" max="11782" width="11.1328125" style="59" customWidth="1"/>
    <col min="11783" max="12022" width="9.1328125" style="59"/>
    <col min="12023" max="12023" width="5.73046875" style="59" customWidth="1"/>
    <col min="12024" max="12024" width="26.73046875" style="59" customWidth="1"/>
    <col min="12025" max="12026" width="11.73046875" style="59" customWidth="1"/>
    <col min="12027" max="12027" width="1.73046875" style="59" customWidth="1"/>
    <col min="12028" max="12028" width="13" style="59" customWidth="1"/>
    <col min="12029" max="12029" width="11.86328125" style="59" customWidth="1"/>
    <col min="12030" max="12030" width="11.3984375" style="59" customWidth="1"/>
    <col min="12031" max="12031" width="1.73046875" style="59" customWidth="1"/>
    <col min="12032" max="12032" width="14.265625" style="59" bestFit="1" customWidth="1"/>
    <col min="12033" max="12033" width="15.86328125" style="59" bestFit="1" customWidth="1"/>
    <col min="12034" max="12034" width="11.1328125" style="59" customWidth="1"/>
    <col min="12035" max="12035" width="1.73046875" style="59" customWidth="1"/>
    <col min="12036" max="12036" width="14.1328125" style="59" bestFit="1" customWidth="1"/>
    <col min="12037" max="12037" width="14.265625" style="59" bestFit="1" customWidth="1"/>
    <col min="12038" max="12038" width="11.1328125" style="59" customWidth="1"/>
    <col min="12039" max="12278" width="9.1328125" style="59"/>
    <col min="12279" max="12279" width="5.73046875" style="59" customWidth="1"/>
    <col min="12280" max="12280" width="26.73046875" style="59" customWidth="1"/>
    <col min="12281" max="12282" width="11.73046875" style="59" customWidth="1"/>
    <col min="12283" max="12283" width="1.73046875" style="59" customWidth="1"/>
    <col min="12284" max="12284" width="13" style="59" customWidth="1"/>
    <col min="12285" max="12285" width="11.86328125" style="59" customWidth="1"/>
    <col min="12286" max="12286" width="11.3984375" style="59" customWidth="1"/>
    <col min="12287" max="12287" width="1.73046875" style="59" customWidth="1"/>
    <col min="12288" max="12288" width="14.265625" style="59" bestFit="1" customWidth="1"/>
    <col min="12289" max="12289" width="15.86328125" style="59" bestFit="1" customWidth="1"/>
    <col min="12290" max="12290" width="11.1328125" style="59" customWidth="1"/>
    <col min="12291" max="12291" width="1.73046875" style="59" customWidth="1"/>
    <col min="12292" max="12292" width="14.1328125" style="59" bestFit="1" customWidth="1"/>
    <col min="12293" max="12293" width="14.265625" style="59" bestFit="1" customWidth="1"/>
    <col min="12294" max="12294" width="11.1328125" style="59" customWidth="1"/>
    <col min="12295" max="12534" width="9.1328125" style="59"/>
    <col min="12535" max="12535" width="5.73046875" style="59" customWidth="1"/>
    <col min="12536" max="12536" width="26.73046875" style="59" customWidth="1"/>
    <col min="12537" max="12538" width="11.73046875" style="59" customWidth="1"/>
    <col min="12539" max="12539" width="1.73046875" style="59" customWidth="1"/>
    <col min="12540" max="12540" width="13" style="59" customWidth="1"/>
    <col min="12541" max="12541" width="11.86328125" style="59" customWidth="1"/>
    <col min="12542" max="12542" width="11.3984375" style="59" customWidth="1"/>
    <col min="12543" max="12543" width="1.73046875" style="59" customWidth="1"/>
    <col min="12544" max="12544" width="14.265625" style="59" bestFit="1" customWidth="1"/>
    <col min="12545" max="12545" width="15.86328125" style="59" bestFit="1" customWidth="1"/>
    <col min="12546" max="12546" width="11.1328125" style="59" customWidth="1"/>
    <col min="12547" max="12547" width="1.73046875" style="59" customWidth="1"/>
    <col min="12548" max="12548" width="14.1328125" style="59" bestFit="1" customWidth="1"/>
    <col min="12549" max="12549" width="14.265625" style="59" bestFit="1" customWidth="1"/>
    <col min="12550" max="12550" width="11.1328125" style="59" customWidth="1"/>
    <col min="12551" max="12790" width="9.1328125" style="59"/>
    <col min="12791" max="12791" width="5.73046875" style="59" customWidth="1"/>
    <col min="12792" max="12792" width="26.73046875" style="59" customWidth="1"/>
    <col min="12793" max="12794" width="11.73046875" style="59" customWidth="1"/>
    <col min="12795" max="12795" width="1.73046875" style="59" customWidth="1"/>
    <col min="12796" max="12796" width="13" style="59" customWidth="1"/>
    <col min="12797" max="12797" width="11.86328125" style="59" customWidth="1"/>
    <col min="12798" max="12798" width="11.3984375" style="59" customWidth="1"/>
    <col min="12799" max="12799" width="1.73046875" style="59" customWidth="1"/>
    <col min="12800" max="12800" width="14.265625" style="59" bestFit="1" customWidth="1"/>
    <col min="12801" max="12801" width="15.86328125" style="59" bestFit="1" customWidth="1"/>
    <col min="12802" max="12802" width="11.1328125" style="59" customWidth="1"/>
    <col min="12803" max="12803" width="1.73046875" style="59" customWidth="1"/>
    <col min="12804" max="12804" width="14.1328125" style="59" bestFit="1" customWidth="1"/>
    <col min="12805" max="12805" width="14.265625" style="59" bestFit="1" customWidth="1"/>
    <col min="12806" max="12806" width="11.1328125" style="59" customWidth="1"/>
    <col min="12807" max="13046" width="9.1328125" style="59"/>
    <col min="13047" max="13047" width="5.73046875" style="59" customWidth="1"/>
    <col min="13048" max="13048" width="26.73046875" style="59" customWidth="1"/>
    <col min="13049" max="13050" width="11.73046875" style="59" customWidth="1"/>
    <col min="13051" max="13051" width="1.73046875" style="59" customWidth="1"/>
    <col min="13052" max="13052" width="13" style="59" customWidth="1"/>
    <col min="13053" max="13053" width="11.86328125" style="59" customWidth="1"/>
    <col min="13054" max="13054" width="11.3984375" style="59" customWidth="1"/>
    <col min="13055" max="13055" width="1.73046875" style="59" customWidth="1"/>
    <col min="13056" max="13056" width="14.265625" style="59" bestFit="1" customWidth="1"/>
    <col min="13057" max="13057" width="15.86328125" style="59" bestFit="1" customWidth="1"/>
    <col min="13058" max="13058" width="11.1328125" style="59" customWidth="1"/>
    <col min="13059" max="13059" width="1.73046875" style="59" customWidth="1"/>
    <col min="13060" max="13060" width="14.1328125" style="59" bestFit="1" customWidth="1"/>
    <col min="13061" max="13061" width="14.265625" style="59" bestFit="1" customWidth="1"/>
    <col min="13062" max="13062" width="11.1328125" style="59" customWidth="1"/>
    <col min="13063" max="13302" width="9.1328125" style="59"/>
    <col min="13303" max="13303" width="5.73046875" style="59" customWidth="1"/>
    <col min="13304" max="13304" width="26.73046875" style="59" customWidth="1"/>
    <col min="13305" max="13306" width="11.73046875" style="59" customWidth="1"/>
    <col min="13307" max="13307" width="1.73046875" style="59" customWidth="1"/>
    <col min="13308" max="13308" width="13" style="59" customWidth="1"/>
    <col min="13309" max="13309" width="11.86328125" style="59" customWidth="1"/>
    <col min="13310" max="13310" width="11.3984375" style="59" customWidth="1"/>
    <col min="13311" max="13311" width="1.73046875" style="59" customWidth="1"/>
    <col min="13312" max="13312" width="14.265625" style="59" bestFit="1" customWidth="1"/>
    <col min="13313" max="13313" width="15.86328125" style="59" bestFit="1" customWidth="1"/>
    <col min="13314" max="13314" width="11.1328125" style="59" customWidth="1"/>
    <col min="13315" max="13315" width="1.73046875" style="59" customWidth="1"/>
    <col min="13316" max="13316" width="14.1328125" style="59" bestFit="1" customWidth="1"/>
    <col min="13317" max="13317" width="14.265625" style="59" bestFit="1" customWidth="1"/>
    <col min="13318" max="13318" width="11.1328125" style="59" customWidth="1"/>
    <col min="13319" max="13558" width="9.1328125" style="59"/>
    <col min="13559" max="13559" width="5.73046875" style="59" customWidth="1"/>
    <col min="13560" max="13560" width="26.73046875" style="59" customWidth="1"/>
    <col min="13561" max="13562" width="11.73046875" style="59" customWidth="1"/>
    <col min="13563" max="13563" width="1.73046875" style="59" customWidth="1"/>
    <col min="13564" max="13564" width="13" style="59" customWidth="1"/>
    <col min="13565" max="13565" width="11.86328125" style="59" customWidth="1"/>
    <col min="13566" max="13566" width="11.3984375" style="59" customWidth="1"/>
    <col min="13567" max="13567" width="1.73046875" style="59" customWidth="1"/>
    <col min="13568" max="13568" width="14.265625" style="59" bestFit="1" customWidth="1"/>
    <col min="13569" max="13569" width="15.86328125" style="59" bestFit="1" customWidth="1"/>
    <col min="13570" max="13570" width="11.1328125" style="59" customWidth="1"/>
    <col min="13571" max="13571" width="1.73046875" style="59" customWidth="1"/>
    <col min="13572" max="13572" width="14.1328125" style="59" bestFit="1" customWidth="1"/>
    <col min="13573" max="13573" width="14.265625" style="59" bestFit="1" customWidth="1"/>
    <col min="13574" max="13574" width="11.1328125" style="59" customWidth="1"/>
    <col min="13575" max="13814" width="9.1328125" style="59"/>
    <col min="13815" max="13815" width="5.73046875" style="59" customWidth="1"/>
    <col min="13816" max="13816" width="26.73046875" style="59" customWidth="1"/>
    <col min="13817" max="13818" width="11.73046875" style="59" customWidth="1"/>
    <col min="13819" max="13819" width="1.73046875" style="59" customWidth="1"/>
    <col min="13820" max="13820" width="13" style="59" customWidth="1"/>
    <col min="13821" max="13821" width="11.86328125" style="59" customWidth="1"/>
    <col min="13822" max="13822" width="11.3984375" style="59" customWidth="1"/>
    <col min="13823" max="13823" width="1.73046875" style="59" customWidth="1"/>
    <col min="13824" max="13824" width="14.265625" style="59" bestFit="1" customWidth="1"/>
    <col min="13825" max="13825" width="15.86328125" style="59" bestFit="1" customWidth="1"/>
    <col min="13826" max="13826" width="11.1328125" style="59" customWidth="1"/>
    <col min="13827" max="13827" width="1.73046875" style="59" customWidth="1"/>
    <col min="13828" max="13828" width="14.1328125" style="59" bestFit="1" customWidth="1"/>
    <col min="13829" max="13829" width="14.265625" style="59" bestFit="1" customWidth="1"/>
    <col min="13830" max="13830" width="11.1328125" style="59" customWidth="1"/>
    <col min="13831" max="14070" width="9.1328125" style="59"/>
    <col min="14071" max="14071" width="5.73046875" style="59" customWidth="1"/>
    <col min="14072" max="14072" width="26.73046875" style="59" customWidth="1"/>
    <col min="14073" max="14074" width="11.73046875" style="59" customWidth="1"/>
    <col min="14075" max="14075" width="1.73046875" style="59" customWidth="1"/>
    <col min="14076" max="14076" width="13" style="59" customWidth="1"/>
    <col min="14077" max="14077" width="11.86328125" style="59" customWidth="1"/>
    <col min="14078" max="14078" width="11.3984375" style="59" customWidth="1"/>
    <col min="14079" max="14079" width="1.73046875" style="59" customWidth="1"/>
    <col min="14080" max="14080" width="14.265625" style="59" bestFit="1" customWidth="1"/>
    <col min="14081" max="14081" width="15.86328125" style="59" bestFit="1" customWidth="1"/>
    <col min="14082" max="14082" width="11.1328125" style="59" customWidth="1"/>
    <col min="14083" max="14083" width="1.73046875" style="59" customWidth="1"/>
    <col min="14084" max="14084" width="14.1328125" style="59" bestFit="1" customWidth="1"/>
    <col min="14085" max="14085" width="14.265625" style="59" bestFit="1" customWidth="1"/>
    <col min="14086" max="14086" width="11.1328125" style="59" customWidth="1"/>
    <col min="14087" max="14326" width="9.1328125" style="59"/>
    <col min="14327" max="14327" width="5.73046875" style="59" customWidth="1"/>
    <col min="14328" max="14328" width="26.73046875" style="59" customWidth="1"/>
    <col min="14329" max="14330" width="11.73046875" style="59" customWidth="1"/>
    <col min="14331" max="14331" width="1.73046875" style="59" customWidth="1"/>
    <col min="14332" max="14332" width="13" style="59" customWidth="1"/>
    <col min="14333" max="14333" width="11.86328125" style="59" customWidth="1"/>
    <col min="14334" max="14334" width="11.3984375" style="59" customWidth="1"/>
    <col min="14335" max="14335" width="1.73046875" style="59" customWidth="1"/>
    <col min="14336" max="14336" width="14.265625" style="59" bestFit="1" customWidth="1"/>
    <col min="14337" max="14337" width="15.86328125" style="59" bestFit="1" customWidth="1"/>
    <col min="14338" max="14338" width="11.1328125" style="59" customWidth="1"/>
    <col min="14339" max="14339" width="1.73046875" style="59" customWidth="1"/>
    <col min="14340" max="14340" width="14.1328125" style="59" bestFit="1" customWidth="1"/>
    <col min="14341" max="14341" width="14.265625" style="59" bestFit="1" customWidth="1"/>
    <col min="14342" max="14342" width="11.1328125" style="59" customWidth="1"/>
    <col min="14343" max="14582" width="9.1328125" style="59"/>
    <col min="14583" max="14583" width="5.73046875" style="59" customWidth="1"/>
    <col min="14584" max="14584" width="26.73046875" style="59" customWidth="1"/>
    <col min="14585" max="14586" width="11.73046875" style="59" customWidth="1"/>
    <col min="14587" max="14587" width="1.73046875" style="59" customWidth="1"/>
    <col min="14588" max="14588" width="13" style="59" customWidth="1"/>
    <col min="14589" max="14589" width="11.86328125" style="59" customWidth="1"/>
    <col min="14590" max="14590" width="11.3984375" style="59" customWidth="1"/>
    <col min="14591" max="14591" width="1.73046875" style="59" customWidth="1"/>
    <col min="14592" max="14592" width="14.265625" style="59" bestFit="1" customWidth="1"/>
    <col min="14593" max="14593" width="15.86328125" style="59" bestFit="1" customWidth="1"/>
    <col min="14594" max="14594" width="11.1328125" style="59" customWidth="1"/>
    <col min="14595" max="14595" width="1.73046875" style="59" customWidth="1"/>
    <col min="14596" max="14596" width="14.1328125" style="59" bestFit="1" customWidth="1"/>
    <col min="14597" max="14597" width="14.265625" style="59" bestFit="1" customWidth="1"/>
    <col min="14598" max="14598" width="11.1328125" style="59" customWidth="1"/>
    <col min="14599" max="14838" width="9.1328125" style="59"/>
    <col min="14839" max="14839" width="5.73046875" style="59" customWidth="1"/>
    <col min="14840" max="14840" width="26.73046875" style="59" customWidth="1"/>
    <col min="14841" max="14842" width="11.73046875" style="59" customWidth="1"/>
    <col min="14843" max="14843" width="1.73046875" style="59" customWidth="1"/>
    <col min="14844" max="14844" width="13" style="59" customWidth="1"/>
    <col min="14845" max="14845" width="11.86328125" style="59" customWidth="1"/>
    <col min="14846" max="14846" width="11.3984375" style="59" customWidth="1"/>
    <col min="14847" max="14847" width="1.73046875" style="59" customWidth="1"/>
    <col min="14848" max="14848" width="14.265625" style="59" bestFit="1" customWidth="1"/>
    <col min="14849" max="14849" width="15.86328125" style="59" bestFit="1" customWidth="1"/>
    <col min="14850" max="14850" width="11.1328125" style="59" customWidth="1"/>
    <col min="14851" max="14851" width="1.73046875" style="59" customWidth="1"/>
    <col min="14852" max="14852" width="14.1328125" style="59" bestFit="1" customWidth="1"/>
    <col min="14853" max="14853" width="14.265625" style="59" bestFit="1" customWidth="1"/>
    <col min="14854" max="14854" width="11.1328125" style="59" customWidth="1"/>
    <col min="14855" max="15094" width="9.1328125" style="59"/>
    <col min="15095" max="15095" width="5.73046875" style="59" customWidth="1"/>
    <col min="15096" max="15096" width="26.73046875" style="59" customWidth="1"/>
    <col min="15097" max="15098" width="11.73046875" style="59" customWidth="1"/>
    <col min="15099" max="15099" width="1.73046875" style="59" customWidth="1"/>
    <col min="15100" max="15100" width="13" style="59" customWidth="1"/>
    <col min="15101" max="15101" width="11.86328125" style="59" customWidth="1"/>
    <col min="15102" max="15102" width="11.3984375" style="59" customWidth="1"/>
    <col min="15103" max="15103" width="1.73046875" style="59" customWidth="1"/>
    <col min="15104" max="15104" width="14.265625" style="59" bestFit="1" customWidth="1"/>
    <col min="15105" max="15105" width="15.86328125" style="59" bestFit="1" customWidth="1"/>
    <col min="15106" max="15106" width="11.1328125" style="59" customWidth="1"/>
    <col min="15107" max="15107" width="1.73046875" style="59" customWidth="1"/>
    <col min="15108" max="15108" width="14.1328125" style="59" bestFit="1" customWidth="1"/>
    <col min="15109" max="15109" width="14.265625" style="59" bestFit="1" customWidth="1"/>
    <col min="15110" max="15110" width="11.1328125" style="59" customWidth="1"/>
    <col min="15111" max="15350" width="9.1328125" style="59"/>
    <col min="15351" max="15351" width="5.73046875" style="59" customWidth="1"/>
    <col min="15352" max="15352" width="26.73046875" style="59" customWidth="1"/>
    <col min="15353" max="15354" width="11.73046875" style="59" customWidth="1"/>
    <col min="15355" max="15355" width="1.73046875" style="59" customWidth="1"/>
    <col min="15356" max="15356" width="13" style="59" customWidth="1"/>
    <col min="15357" max="15357" width="11.86328125" style="59" customWidth="1"/>
    <col min="15358" max="15358" width="11.3984375" style="59" customWidth="1"/>
    <col min="15359" max="15359" width="1.73046875" style="59" customWidth="1"/>
    <col min="15360" max="15360" width="14.265625" style="59" bestFit="1" customWidth="1"/>
    <col min="15361" max="15361" width="15.86328125" style="59" bestFit="1" customWidth="1"/>
    <col min="15362" max="15362" width="11.1328125" style="59" customWidth="1"/>
    <col min="15363" max="15363" width="1.73046875" style="59" customWidth="1"/>
    <col min="15364" max="15364" width="14.1328125" style="59" bestFit="1" customWidth="1"/>
    <col min="15365" max="15365" width="14.265625" style="59" bestFit="1" customWidth="1"/>
    <col min="15366" max="15366" width="11.1328125" style="59" customWidth="1"/>
    <col min="15367" max="15606" width="9.1328125" style="59"/>
    <col min="15607" max="15607" width="5.73046875" style="59" customWidth="1"/>
    <col min="15608" max="15608" width="26.73046875" style="59" customWidth="1"/>
    <col min="15609" max="15610" width="11.73046875" style="59" customWidth="1"/>
    <col min="15611" max="15611" width="1.73046875" style="59" customWidth="1"/>
    <col min="15612" max="15612" width="13" style="59" customWidth="1"/>
    <col min="15613" max="15613" width="11.86328125" style="59" customWidth="1"/>
    <col min="15614" max="15614" width="11.3984375" style="59" customWidth="1"/>
    <col min="15615" max="15615" width="1.73046875" style="59" customWidth="1"/>
    <col min="15616" max="15616" width="14.265625" style="59" bestFit="1" customWidth="1"/>
    <col min="15617" max="15617" width="15.86328125" style="59" bestFit="1" customWidth="1"/>
    <col min="15618" max="15618" width="11.1328125" style="59" customWidth="1"/>
    <col min="15619" max="15619" width="1.73046875" style="59" customWidth="1"/>
    <col min="15620" max="15620" width="14.1328125" style="59" bestFit="1" customWidth="1"/>
    <col min="15621" max="15621" width="14.265625" style="59" bestFit="1" customWidth="1"/>
    <col min="15622" max="15622" width="11.1328125" style="59" customWidth="1"/>
    <col min="15623" max="15862" width="9.1328125" style="59"/>
    <col min="15863" max="15863" width="5.73046875" style="59" customWidth="1"/>
    <col min="15864" max="15864" width="26.73046875" style="59" customWidth="1"/>
    <col min="15865" max="15866" width="11.73046875" style="59" customWidth="1"/>
    <col min="15867" max="15867" width="1.73046875" style="59" customWidth="1"/>
    <col min="15868" max="15868" width="13" style="59" customWidth="1"/>
    <col min="15869" max="15869" width="11.86328125" style="59" customWidth="1"/>
    <col min="15870" max="15870" width="11.3984375" style="59" customWidth="1"/>
    <col min="15871" max="15871" width="1.73046875" style="59" customWidth="1"/>
    <col min="15872" max="15872" width="14.265625" style="59" bestFit="1" customWidth="1"/>
    <col min="15873" max="15873" width="15.86328125" style="59" bestFit="1" customWidth="1"/>
    <col min="15874" max="15874" width="11.1328125" style="59" customWidth="1"/>
    <col min="15875" max="15875" width="1.73046875" style="59" customWidth="1"/>
    <col min="15876" max="15876" width="14.1328125" style="59" bestFit="1" customWidth="1"/>
    <col min="15877" max="15877" width="14.265625" style="59" bestFit="1" customWidth="1"/>
    <col min="15878" max="15878" width="11.1328125" style="59" customWidth="1"/>
    <col min="15879" max="16118" width="9.1328125" style="59"/>
    <col min="16119" max="16119" width="5.73046875" style="59" customWidth="1"/>
    <col min="16120" max="16120" width="26.73046875" style="59" customWidth="1"/>
    <col min="16121" max="16122" width="11.73046875" style="59" customWidth="1"/>
    <col min="16123" max="16123" width="1.73046875" style="59" customWidth="1"/>
    <col min="16124" max="16124" width="13" style="59" customWidth="1"/>
    <col min="16125" max="16125" width="11.86328125" style="59" customWidth="1"/>
    <col min="16126" max="16126" width="11.3984375" style="59" customWidth="1"/>
    <col min="16127" max="16127" width="1.73046875" style="59" customWidth="1"/>
    <col min="16128" max="16128" width="14.265625" style="59" bestFit="1" customWidth="1"/>
    <col min="16129" max="16129" width="15.86328125" style="59" bestFit="1" customWidth="1"/>
    <col min="16130" max="16130" width="11.1328125" style="59" customWidth="1"/>
    <col min="16131" max="16131" width="1.73046875" style="59" customWidth="1"/>
    <col min="16132" max="16132" width="14.1328125" style="59" bestFit="1" customWidth="1"/>
    <col min="16133" max="16133" width="14.265625" style="59" bestFit="1" customWidth="1"/>
    <col min="16134" max="16134" width="11.1328125" style="59" customWidth="1"/>
    <col min="16135" max="16384" width="9.1328125" style="59"/>
  </cols>
  <sheetData>
    <row r="1" spans="1:21" x14ac:dyDescent="0.45">
      <c r="B1" s="122"/>
      <c r="C1" s="175" t="s">
        <v>27</v>
      </c>
      <c r="D1" s="175"/>
      <c r="E1" s="175"/>
      <c r="F1" s="175"/>
      <c r="G1" s="175"/>
      <c r="H1" s="175"/>
      <c r="I1" s="175"/>
      <c r="J1" s="175"/>
    </row>
    <row r="2" spans="1:21" x14ac:dyDescent="0.45">
      <c r="B2" s="123"/>
      <c r="C2" s="175" t="s">
        <v>141</v>
      </c>
      <c r="D2" s="175"/>
      <c r="E2" s="175"/>
      <c r="F2" s="175"/>
      <c r="G2" s="175"/>
      <c r="H2" s="175"/>
      <c r="I2" s="175"/>
      <c r="J2" s="175"/>
    </row>
    <row r="3" spans="1:21" x14ac:dyDescent="0.45">
      <c r="B3" s="124"/>
    </row>
    <row r="4" spans="1:21" x14ac:dyDescent="0.45">
      <c r="B4" s="118" t="s">
        <v>509</v>
      </c>
      <c r="C4" s="118" t="s">
        <v>510</v>
      </c>
      <c r="D4" s="118" t="s">
        <v>511</v>
      </c>
      <c r="E4" s="118" t="s">
        <v>512</v>
      </c>
      <c r="F4" s="118" t="s">
        <v>513</v>
      </c>
      <c r="G4" s="118" t="s">
        <v>514</v>
      </c>
      <c r="H4" s="118" t="s">
        <v>515</v>
      </c>
      <c r="I4" s="118" t="s">
        <v>516</v>
      </c>
      <c r="J4" s="118" t="s">
        <v>548</v>
      </c>
      <c r="K4" s="118" t="s">
        <v>549</v>
      </c>
      <c r="L4" s="118" t="s">
        <v>550</v>
      </c>
      <c r="M4" s="118" t="s">
        <v>645</v>
      </c>
    </row>
    <row r="5" spans="1:21" x14ac:dyDescent="0.45">
      <c r="R5" s="100"/>
      <c r="S5" s="100"/>
      <c r="T5" s="100"/>
      <c r="U5" s="100"/>
    </row>
    <row r="6" spans="1:21" x14ac:dyDescent="0.45">
      <c r="A6" s="59">
        <v>1</v>
      </c>
      <c r="B6" s="56" t="s">
        <v>140</v>
      </c>
      <c r="C6" s="59" t="s">
        <v>737</v>
      </c>
      <c r="E6" s="56" t="s">
        <v>739</v>
      </c>
      <c r="F6" s="56"/>
      <c r="G6" s="56"/>
      <c r="O6" s="34" t="s">
        <v>748</v>
      </c>
      <c r="R6" s="100"/>
      <c r="S6" s="100"/>
      <c r="T6" s="100"/>
      <c r="U6" s="100"/>
    </row>
    <row r="7" spans="1:21" x14ac:dyDescent="0.45">
      <c r="A7" s="59">
        <f>+A6+1</f>
        <v>2</v>
      </c>
      <c r="B7" s="125" t="s">
        <v>236</v>
      </c>
      <c r="C7" s="126" t="s">
        <v>738</v>
      </c>
      <c r="E7" s="125" t="s">
        <v>145</v>
      </c>
      <c r="F7" s="125"/>
      <c r="G7" s="125"/>
      <c r="R7" s="100"/>
      <c r="S7" s="100"/>
      <c r="T7" s="100"/>
      <c r="U7" s="100"/>
    </row>
    <row r="8" spans="1:21" x14ac:dyDescent="0.45">
      <c r="A8" s="59">
        <f t="shared" ref="A8:A71" si="0">+A7+1</f>
        <v>3</v>
      </c>
      <c r="C8" s="127" t="s">
        <v>161</v>
      </c>
      <c r="D8" s="100"/>
      <c r="R8" s="100"/>
      <c r="S8" s="100"/>
      <c r="T8" s="100"/>
      <c r="U8" s="100"/>
    </row>
    <row r="9" spans="1:21" x14ac:dyDescent="0.45">
      <c r="A9" s="59">
        <f t="shared" si="0"/>
        <v>4</v>
      </c>
      <c r="C9" s="59" t="s">
        <v>162</v>
      </c>
      <c r="D9" s="128" t="s">
        <v>243</v>
      </c>
      <c r="E9" s="41">
        <v>2150907</v>
      </c>
      <c r="F9" s="60">
        <f>IFERROR(+E9/(SUM(E$9:E$13)),0)</f>
        <v>0.50947930668972174</v>
      </c>
      <c r="R9" s="100"/>
      <c r="S9" s="100"/>
      <c r="T9" s="100"/>
      <c r="U9" s="100"/>
    </row>
    <row r="10" spans="1:21" x14ac:dyDescent="0.45">
      <c r="A10" s="59">
        <f t="shared" si="0"/>
        <v>5</v>
      </c>
      <c r="C10" s="59" t="s">
        <v>163</v>
      </c>
      <c r="D10" s="128" t="s">
        <v>244</v>
      </c>
      <c r="E10" s="41">
        <v>1122258</v>
      </c>
      <c r="F10" s="60">
        <f>IFERROR(+E10/(SUM(E$9:E$13)),0)</f>
        <v>0.26582610394916828</v>
      </c>
      <c r="J10" s="60"/>
      <c r="R10" s="100"/>
      <c r="S10" s="100"/>
      <c r="T10" s="100"/>
      <c r="U10" s="100"/>
    </row>
    <row r="11" spans="1:21" x14ac:dyDescent="0.45">
      <c r="C11" s="59" t="s">
        <v>167</v>
      </c>
      <c r="D11" s="128" t="s">
        <v>245</v>
      </c>
      <c r="E11" s="41">
        <v>563908</v>
      </c>
      <c r="F11" s="60">
        <f>IFERROR(+E11/(SUM(E$9:E$13)),0)</f>
        <v>0.13357130590805999</v>
      </c>
      <c r="R11" s="100"/>
      <c r="S11" s="100"/>
      <c r="T11" s="100"/>
      <c r="U11" s="100"/>
    </row>
    <row r="12" spans="1:21" x14ac:dyDescent="0.45">
      <c r="A12" s="59">
        <f>+A10+1</f>
        <v>6</v>
      </c>
      <c r="C12" s="59" t="s">
        <v>164</v>
      </c>
      <c r="D12" s="128" t="s">
        <v>246</v>
      </c>
      <c r="E12" s="41">
        <v>0</v>
      </c>
      <c r="F12" s="60">
        <f>IFERROR(+E12/(SUM(E$9:E$13)),0)</f>
        <v>0</v>
      </c>
      <c r="J12" s="60"/>
      <c r="R12" s="100"/>
      <c r="S12" s="100"/>
      <c r="T12" s="100"/>
      <c r="U12" s="100"/>
    </row>
    <row r="13" spans="1:21" x14ac:dyDescent="0.45">
      <c r="A13" s="59">
        <f>+A12+1</f>
        <v>7</v>
      </c>
      <c r="C13" s="59" t="s">
        <v>165</v>
      </c>
      <c r="D13" s="128" t="s">
        <v>247</v>
      </c>
      <c r="E13" s="41">
        <v>384702</v>
      </c>
      <c r="F13" s="60">
        <f>IFERROR(+E13/(SUM(E$9:E$13)),0)</f>
        <v>9.1123283453049958E-2</v>
      </c>
    </row>
    <row r="14" spans="1:21" x14ac:dyDescent="0.45">
      <c r="A14" s="59">
        <f t="shared" si="0"/>
        <v>8</v>
      </c>
      <c r="C14" s="59" t="s">
        <v>166</v>
      </c>
      <c r="D14" s="128" t="s">
        <v>248</v>
      </c>
      <c r="E14" s="83">
        <v>8856678</v>
      </c>
      <c r="F14" s="129"/>
    </row>
    <row r="15" spans="1:21" x14ac:dyDescent="0.45">
      <c r="A15" s="59">
        <f t="shared" si="0"/>
        <v>9</v>
      </c>
      <c r="C15" s="59" t="s">
        <v>168</v>
      </c>
      <c r="E15" s="130">
        <f>SUM(E9:E14)</f>
        <v>13078453</v>
      </c>
      <c r="F15" s="60">
        <f>SUM(F9:F13)</f>
        <v>1</v>
      </c>
    </row>
    <row r="16" spans="1:21" x14ac:dyDescent="0.45">
      <c r="A16" s="59">
        <f t="shared" si="0"/>
        <v>10</v>
      </c>
      <c r="E16" s="130"/>
      <c r="F16" s="60"/>
      <c r="L16" s="56"/>
    </row>
    <row r="17" spans="1:13" x14ac:dyDescent="0.45">
      <c r="A17" s="59">
        <f>+A16+1</f>
        <v>11</v>
      </c>
      <c r="D17" s="172" t="s">
        <v>648</v>
      </c>
      <c r="E17" s="172"/>
      <c r="F17" s="172" t="s">
        <v>649</v>
      </c>
      <c r="G17" s="172"/>
      <c r="H17" s="172" t="s">
        <v>650</v>
      </c>
      <c r="I17" s="172"/>
      <c r="J17" s="172" t="s">
        <v>753</v>
      </c>
      <c r="K17" s="172"/>
      <c r="L17" s="120" t="s">
        <v>776</v>
      </c>
      <c r="M17" s="127" t="s">
        <v>233</v>
      </c>
    </row>
    <row r="18" spans="1:13" x14ac:dyDescent="0.45">
      <c r="A18" s="59">
        <f t="shared" si="0"/>
        <v>12</v>
      </c>
      <c r="D18" s="65" t="s">
        <v>26</v>
      </c>
      <c r="E18" s="65" t="s">
        <v>34</v>
      </c>
      <c r="F18" s="65" t="s">
        <v>26</v>
      </c>
      <c r="G18" s="65" t="s">
        <v>34</v>
      </c>
      <c r="H18" s="65" t="s">
        <v>26</v>
      </c>
      <c r="I18" s="65" t="s">
        <v>34</v>
      </c>
      <c r="J18" s="65" t="s">
        <v>26</v>
      </c>
      <c r="K18" s="65" t="s">
        <v>34</v>
      </c>
      <c r="L18" s="65"/>
      <c r="M18" s="21"/>
    </row>
    <row r="19" spans="1:13" x14ac:dyDescent="0.45">
      <c r="A19" s="59">
        <f t="shared" si="0"/>
        <v>13</v>
      </c>
      <c r="C19" s="131" t="s">
        <v>710</v>
      </c>
      <c r="D19" s="65"/>
      <c r="E19" s="65"/>
      <c r="F19" s="65"/>
      <c r="G19" s="65"/>
      <c r="H19" s="65"/>
      <c r="I19" s="65"/>
      <c r="J19" s="65"/>
      <c r="K19" s="65"/>
      <c r="L19" s="65"/>
      <c r="M19" s="21"/>
    </row>
    <row r="20" spans="1:13" x14ac:dyDescent="0.45">
      <c r="A20" s="59">
        <f t="shared" si="0"/>
        <v>14</v>
      </c>
      <c r="C20" s="59" t="s">
        <v>674</v>
      </c>
      <c r="D20" s="59">
        <f>$E$10*D46</f>
        <v>3215.6389684813753</v>
      </c>
      <c r="E20" s="59">
        <f t="shared" ref="E20:K20" si="1">$E$10*E46</f>
        <v>16078.194842406878</v>
      </c>
      <c r="F20" s="59">
        <f t="shared" si="1"/>
        <v>16078.194842406878</v>
      </c>
      <c r="G20" s="59">
        <f t="shared" si="1"/>
        <v>0</v>
      </c>
      <c r="H20" s="59">
        <f t="shared" si="1"/>
        <v>54665.862464183381</v>
      </c>
      <c r="I20" s="59">
        <f t="shared" si="1"/>
        <v>0</v>
      </c>
      <c r="J20" s="59">
        <f t="shared" si="1"/>
        <v>0</v>
      </c>
      <c r="K20" s="59">
        <f t="shared" si="1"/>
        <v>0</v>
      </c>
      <c r="L20" s="59">
        <f>$E$10*L46+(E9+E11+E12+E13)</f>
        <v>4131737.1088825213</v>
      </c>
      <c r="M20" s="59">
        <f>SUM(D20:L20)</f>
        <v>4221775</v>
      </c>
    </row>
    <row r="21" spans="1:13" x14ac:dyDescent="0.45">
      <c r="A21" s="59">
        <f t="shared" si="0"/>
        <v>15</v>
      </c>
      <c r="B21" s="118">
        <v>107</v>
      </c>
      <c r="C21" s="59" t="s">
        <v>673</v>
      </c>
      <c r="D21" s="60">
        <f>IFERROR(D20/$M$20,0)</f>
        <v>7.6167938094317557E-4</v>
      </c>
      <c r="E21" s="60">
        <f t="shared" ref="E21:L21" si="2">IFERROR(E20/$M$20,0)</f>
        <v>3.8083969047158785E-3</v>
      </c>
      <c r="F21" s="60">
        <f t="shared" si="2"/>
        <v>3.8083969047158785E-3</v>
      </c>
      <c r="G21" s="60">
        <f t="shared" si="2"/>
        <v>0</v>
      </c>
      <c r="H21" s="60">
        <f t="shared" si="2"/>
        <v>1.2948549476033987E-2</v>
      </c>
      <c r="I21" s="60">
        <f t="shared" si="2"/>
        <v>0</v>
      </c>
      <c r="J21" s="60">
        <f t="shared" si="2"/>
        <v>0</v>
      </c>
      <c r="K21" s="60">
        <f t="shared" si="2"/>
        <v>0</v>
      </c>
      <c r="L21" s="60">
        <f t="shared" si="2"/>
        <v>0.97867297733359104</v>
      </c>
      <c r="M21" s="60">
        <f>SUM(D21:L21)</f>
        <v>1</v>
      </c>
    </row>
    <row r="22" spans="1:13" x14ac:dyDescent="0.45">
      <c r="A22" s="59">
        <f t="shared" si="0"/>
        <v>16</v>
      </c>
      <c r="D22" s="60"/>
      <c r="E22" s="60"/>
      <c r="F22" s="60"/>
      <c r="G22" s="60"/>
      <c r="H22" s="60"/>
      <c r="I22" s="60"/>
      <c r="J22" s="60"/>
      <c r="K22" s="60"/>
      <c r="L22" s="60"/>
      <c r="M22" s="60"/>
    </row>
    <row r="23" spans="1:13" x14ac:dyDescent="0.45">
      <c r="A23" s="59">
        <f t="shared" si="0"/>
        <v>17</v>
      </c>
      <c r="C23" s="131" t="s">
        <v>707</v>
      </c>
      <c r="D23" s="60"/>
      <c r="E23" s="60"/>
      <c r="F23" s="60"/>
      <c r="G23" s="60"/>
      <c r="H23" s="60"/>
      <c r="I23" s="60"/>
      <c r="J23" s="60"/>
      <c r="K23" s="60"/>
      <c r="L23" s="60"/>
      <c r="M23" s="60"/>
    </row>
    <row r="24" spans="1:13" x14ac:dyDescent="0.45">
      <c r="A24" s="59">
        <f t="shared" si="0"/>
        <v>18</v>
      </c>
      <c r="C24" s="59" t="s">
        <v>708</v>
      </c>
      <c r="D24" s="130">
        <f ca="1">+Plant!G117</f>
        <v>5334520</v>
      </c>
      <c r="E24" s="130">
        <f ca="1">+Plant!H117</f>
        <v>5291016</v>
      </c>
      <c r="F24" s="130">
        <f ca="1">+Plant!I117</f>
        <v>25250611</v>
      </c>
      <c r="G24" s="130">
        <f ca="1">+Plant!J117</f>
        <v>0</v>
      </c>
      <c r="H24" s="130">
        <f ca="1">+Plant!K117</f>
        <v>48801729</v>
      </c>
      <c r="I24" s="130">
        <f ca="1">+Plant!L117</f>
        <v>0</v>
      </c>
      <c r="J24" s="130">
        <f ca="1">+Plant!M117</f>
        <v>0</v>
      </c>
      <c r="K24" s="130">
        <f ca="1">+Plant!N117</f>
        <v>0</v>
      </c>
      <c r="L24" s="130">
        <f ca="1">+Plant!O117</f>
        <v>34752877</v>
      </c>
      <c r="M24" s="132">
        <f ca="1">SUM(D24:L24)</f>
        <v>119430753</v>
      </c>
    </row>
    <row r="25" spans="1:13" x14ac:dyDescent="0.45">
      <c r="A25" s="59">
        <f t="shared" si="0"/>
        <v>19</v>
      </c>
      <c r="C25" s="59" t="s">
        <v>709</v>
      </c>
      <c r="D25" s="130">
        <f ca="1">+Plant!V117</f>
        <v>4193675.0324999997</v>
      </c>
      <c r="E25" s="130">
        <f>+Plant!W117</f>
        <v>1477031.6969999999</v>
      </c>
      <c r="F25" s="130">
        <f>+Plant!X117</f>
        <v>15458489.373500001</v>
      </c>
      <c r="G25" s="130">
        <f>+Plant!Y117</f>
        <v>0</v>
      </c>
      <c r="H25" s="130">
        <f>+Plant!Z117</f>
        <v>15081489.899499999</v>
      </c>
      <c r="I25" s="130">
        <f>+Plant!AA117</f>
        <v>0</v>
      </c>
      <c r="J25" s="130">
        <f>+Plant!AB117</f>
        <v>0</v>
      </c>
      <c r="K25" s="130">
        <f>+Plant!AC117</f>
        <v>0</v>
      </c>
      <c r="L25" s="130">
        <f>+Plant!AD117</f>
        <v>83220066.997500002</v>
      </c>
      <c r="M25" s="132">
        <f ca="1">SUM(D25:L25)</f>
        <v>119430753</v>
      </c>
    </row>
    <row r="26" spans="1:13" x14ac:dyDescent="0.45">
      <c r="A26" s="59">
        <f t="shared" si="0"/>
        <v>20</v>
      </c>
      <c r="B26" s="118">
        <v>305</v>
      </c>
      <c r="C26" s="59" t="s">
        <v>712</v>
      </c>
      <c r="D26" s="60">
        <f ca="1">IFERROR(D25/D24,0)</f>
        <v>0.78613915263228928</v>
      </c>
      <c r="E26" s="60">
        <f ca="1">IFERROR(E25/E24,0)</f>
        <v>0.27915842571634636</v>
      </c>
      <c r="F26" s="60">
        <f ca="1">IFERROR(F25/F24,0)</f>
        <v>0.61220258684037387</v>
      </c>
      <c r="G26" s="60">
        <f ca="1">IFERROR(G25/G24,0)</f>
        <v>0</v>
      </c>
      <c r="H26" s="60">
        <f t="shared" ref="H26:M26" ca="1" si="3">IFERROR(H25/H24,0)</f>
        <v>0.30903597492416712</v>
      </c>
      <c r="I26" s="60">
        <f ca="1">IFERROR(I25/I24,0)</f>
        <v>0</v>
      </c>
      <c r="J26" s="60">
        <f t="shared" ca="1" si="3"/>
        <v>0</v>
      </c>
      <c r="K26" s="60">
        <f ca="1">IFERROR(K25/K24,0)</f>
        <v>0</v>
      </c>
      <c r="L26" s="60">
        <f t="shared" ca="1" si="3"/>
        <v>2.3946238176914103</v>
      </c>
      <c r="M26" s="60">
        <f t="shared" ca="1" si="3"/>
        <v>1</v>
      </c>
    </row>
    <row r="27" spans="1:13" x14ac:dyDescent="0.45">
      <c r="A27" s="59">
        <f t="shared" si="0"/>
        <v>21</v>
      </c>
      <c r="D27" s="60"/>
      <c r="E27" s="60"/>
      <c r="F27" s="60"/>
      <c r="G27" s="60"/>
      <c r="H27" s="60"/>
      <c r="I27" s="60"/>
      <c r="J27" s="60"/>
      <c r="K27" s="60"/>
      <c r="L27" s="60"/>
      <c r="M27" s="60"/>
    </row>
    <row r="28" spans="1:13" x14ac:dyDescent="0.45">
      <c r="A28" s="59">
        <f t="shared" si="0"/>
        <v>22</v>
      </c>
      <c r="C28" s="131" t="s">
        <v>729</v>
      </c>
      <c r="D28" s="60"/>
      <c r="E28" s="60"/>
      <c r="F28" s="60"/>
      <c r="G28" s="60"/>
      <c r="H28" s="60"/>
      <c r="I28" s="60"/>
      <c r="J28" s="60"/>
      <c r="K28" s="60"/>
      <c r="L28" s="60"/>
      <c r="M28" s="60"/>
    </row>
    <row r="29" spans="1:13" x14ac:dyDescent="0.45">
      <c r="A29" s="59">
        <f t="shared" si="0"/>
        <v>23</v>
      </c>
      <c r="C29" s="59" t="s">
        <v>730</v>
      </c>
      <c r="D29" s="130">
        <f>+Plant!G140</f>
        <v>5306220.3008595984</v>
      </c>
      <c r="E29" s="130">
        <f>+Plant!H140</f>
        <v>5359537.5042979941</v>
      </c>
      <c r="F29" s="130">
        <f>+Plant!I140</f>
        <v>25335632.504297994</v>
      </c>
      <c r="G29" s="130">
        <f>+Plant!J140</f>
        <v>0</v>
      </c>
      <c r="H29" s="130">
        <f>+Plant!K140</f>
        <v>48933476.114613183</v>
      </c>
      <c r="I29" s="130">
        <f>+Plant!L140</f>
        <v>0</v>
      </c>
      <c r="J29" s="130">
        <f>+Plant!M140</f>
        <v>0</v>
      </c>
      <c r="K29" s="130">
        <f>+Plant!N140</f>
        <v>0</v>
      </c>
      <c r="L29" s="130">
        <f>+Plant!O140</f>
        <v>39720787.575931236</v>
      </c>
      <c r="M29" s="132">
        <f>SUM(D29:L29)</f>
        <v>124655654.00000001</v>
      </c>
    </row>
    <row r="30" spans="1:13" x14ac:dyDescent="0.45">
      <c r="A30" s="59">
        <f t="shared" si="0"/>
        <v>24</v>
      </c>
      <c r="C30" s="59" t="s">
        <v>731</v>
      </c>
      <c r="D30" s="130">
        <f>+Plant!V140</f>
        <v>4174224.7683595987</v>
      </c>
      <c r="E30" s="130">
        <f>+Plant!W140</f>
        <v>1560559.9512979942</v>
      </c>
      <c r="F30" s="130">
        <f>+Plant!X140</f>
        <v>15543510.877797995</v>
      </c>
      <c r="G30" s="130">
        <f>+Plant!Y140</f>
        <v>0</v>
      </c>
      <c r="H30" s="130">
        <f>+Plant!Z140</f>
        <v>15288460.84961318</v>
      </c>
      <c r="I30" s="130">
        <f>+Plant!AA140</f>
        <v>0</v>
      </c>
      <c r="J30" s="130">
        <f>+Plant!AB140</f>
        <v>0</v>
      </c>
      <c r="K30" s="130">
        <f>+Plant!AC140</f>
        <v>0</v>
      </c>
      <c r="L30" s="130">
        <f>+Plant!AD140</f>
        <v>88088897.552931234</v>
      </c>
      <c r="M30" s="132">
        <f>SUM(D30:L30)</f>
        <v>124655654</v>
      </c>
    </row>
    <row r="31" spans="1:13" x14ac:dyDescent="0.45">
      <c r="A31" s="59">
        <f t="shared" si="0"/>
        <v>25</v>
      </c>
      <c r="B31" s="118">
        <v>306</v>
      </c>
      <c r="C31" s="59" t="s">
        <v>732</v>
      </c>
      <c r="D31" s="60">
        <f>IFERROR(D30/D29,0)</f>
        <v>0.78666631456733549</v>
      </c>
      <c r="E31" s="60">
        <f t="shared" ref="E31:M31" si="4">IFERROR(E30/E29,0)</f>
        <v>0.29117436906571292</v>
      </c>
      <c r="F31" s="60">
        <f t="shared" si="4"/>
        <v>0.61350396028838661</v>
      </c>
      <c r="G31" s="60">
        <f t="shared" si="4"/>
        <v>0</v>
      </c>
      <c r="H31" s="60">
        <f t="shared" si="4"/>
        <v>0.31243357438584934</v>
      </c>
      <c r="I31" s="60">
        <f t="shared" si="4"/>
        <v>0</v>
      </c>
      <c r="J31" s="60">
        <f t="shared" si="4"/>
        <v>0</v>
      </c>
      <c r="K31" s="60">
        <f t="shared" si="4"/>
        <v>0</v>
      </c>
      <c r="L31" s="60">
        <f t="shared" si="4"/>
        <v>2.2177026924387722</v>
      </c>
      <c r="M31" s="60">
        <f t="shared" si="4"/>
        <v>0.99999999999999989</v>
      </c>
    </row>
    <row r="32" spans="1:13" x14ac:dyDescent="0.45">
      <c r="A32" s="59">
        <f t="shared" si="0"/>
        <v>26</v>
      </c>
      <c r="D32" s="60"/>
      <c r="E32" s="60"/>
      <c r="F32" s="60"/>
      <c r="G32" s="60"/>
      <c r="H32" s="60"/>
      <c r="I32" s="60"/>
      <c r="J32" s="60"/>
      <c r="K32" s="60"/>
      <c r="L32" s="60"/>
      <c r="M32" s="60"/>
    </row>
    <row r="33" spans="1:13" x14ac:dyDescent="0.45">
      <c r="A33" s="59">
        <f t="shared" si="0"/>
        <v>27</v>
      </c>
      <c r="C33" s="131" t="s">
        <v>733</v>
      </c>
      <c r="D33" s="60"/>
      <c r="E33" s="60"/>
      <c r="F33" s="60"/>
      <c r="G33" s="60"/>
      <c r="H33" s="60"/>
      <c r="I33" s="60"/>
      <c r="J33" s="60"/>
      <c r="K33" s="60"/>
      <c r="L33" s="60"/>
      <c r="M33" s="60"/>
    </row>
    <row r="34" spans="1:13" x14ac:dyDescent="0.45">
      <c r="A34" s="59">
        <f t="shared" si="0"/>
        <v>28</v>
      </c>
      <c r="C34" s="59" t="s">
        <v>760</v>
      </c>
      <c r="D34" s="130">
        <f>+Expenses!O267</f>
        <v>37592.68169446582</v>
      </c>
      <c r="E34" s="130">
        <f>+Expenses!P267</f>
        <v>115890.7593943594</v>
      </c>
      <c r="F34" s="130">
        <f>+Expenses!Q267</f>
        <v>57271.404240687669</v>
      </c>
      <c r="G34" s="130">
        <f>+Expenses!R267</f>
        <v>0</v>
      </c>
      <c r="H34" s="130">
        <f>+Expenses!S267</f>
        <v>1451634.1264183382</v>
      </c>
      <c r="I34" s="130">
        <f>+Expenses!T267</f>
        <v>0</v>
      </c>
      <c r="J34" s="130">
        <f>+Expenses!U267</f>
        <v>0</v>
      </c>
      <c r="K34" s="130">
        <f>+Expenses!V267</f>
        <v>0</v>
      </c>
      <c r="L34" s="130">
        <f>+Expenses!W267</f>
        <v>318914343.02825212</v>
      </c>
      <c r="M34" s="132">
        <f>SUM(D34:L34)</f>
        <v>320576732</v>
      </c>
    </row>
    <row r="35" spans="1:13" x14ac:dyDescent="0.45">
      <c r="A35" s="59">
        <f t="shared" si="0"/>
        <v>29</v>
      </c>
      <c r="C35" s="59" t="s">
        <v>762</v>
      </c>
      <c r="D35" s="130">
        <f ca="1">+Expenses!AE267</f>
        <v>13608.906453388434</v>
      </c>
      <c r="E35" s="130">
        <f ca="1">+Expenses!AF267</f>
        <v>23310.44097985814</v>
      </c>
      <c r="F35" s="130">
        <f ca="1">+Expenses!AG267</f>
        <v>43433.386118295995</v>
      </c>
      <c r="G35" s="130">
        <f ca="1">+Expenses!AH267</f>
        <v>0</v>
      </c>
      <c r="H35" s="130">
        <f ca="1">+Expenses!AI267</f>
        <v>322429.98529007268</v>
      </c>
      <c r="I35" s="130">
        <f ca="1">+Expenses!AJ267</f>
        <v>0</v>
      </c>
      <c r="J35" s="130">
        <f ca="1">+Expenses!AK267</f>
        <v>0</v>
      </c>
      <c r="K35" s="130">
        <f ca="1">+Expenses!AL267</f>
        <v>0</v>
      </c>
      <c r="L35" s="130">
        <f ca="1">+Expenses!AM267</f>
        <v>320173949.28115833</v>
      </c>
      <c r="M35" s="132">
        <f ca="1">SUM(D35:L35)</f>
        <v>320576731.99999994</v>
      </c>
    </row>
    <row r="36" spans="1:13" x14ac:dyDescent="0.45">
      <c r="A36" s="59">
        <f t="shared" si="0"/>
        <v>30</v>
      </c>
      <c r="B36" s="118">
        <v>307</v>
      </c>
      <c r="C36" s="59" t="s">
        <v>761</v>
      </c>
      <c r="D36" s="60">
        <f ca="1">IFERROR(D35/D34,0)</f>
        <v>0.36200946141578028</v>
      </c>
      <c r="E36" s="60">
        <f t="shared" ref="E36:M36" ca="1" si="5">IFERROR(E35/E34,0)</f>
        <v>0.20114149826679537</v>
      </c>
      <c r="F36" s="60">
        <f t="shared" ca="1" si="5"/>
        <v>0.75837822896333584</v>
      </c>
      <c r="G36" s="60">
        <f t="shared" ca="1" si="5"/>
        <v>0</v>
      </c>
      <c r="H36" s="60">
        <f t="shared" ca="1" si="5"/>
        <v>0.22211518689328016</v>
      </c>
      <c r="I36" s="60">
        <f t="shared" ca="1" si="5"/>
        <v>0</v>
      </c>
      <c r="J36" s="60">
        <f t="shared" ca="1" si="5"/>
        <v>0</v>
      </c>
      <c r="K36" s="60">
        <f t="shared" ca="1" si="5"/>
        <v>0</v>
      </c>
      <c r="L36" s="60">
        <f t="shared" ca="1" si="5"/>
        <v>1.0039496694972876</v>
      </c>
      <c r="M36" s="60">
        <f t="shared" ca="1" si="5"/>
        <v>0.99999999999999978</v>
      </c>
    </row>
    <row r="37" spans="1:13" x14ac:dyDescent="0.45">
      <c r="A37" s="59">
        <f t="shared" si="0"/>
        <v>31</v>
      </c>
      <c r="D37" s="60"/>
      <c r="E37" s="60"/>
      <c r="F37" s="60"/>
      <c r="G37" s="60"/>
      <c r="H37" s="60"/>
      <c r="I37" s="60"/>
      <c r="J37" s="60"/>
      <c r="K37" s="60"/>
      <c r="L37" s="60"/>
      <c r="M37" s="60"/>
    </row>
    <row r="38" spans="1:13" x14ac:dyDescent="0.45">
      <c r="A38" s="59">
        <f t="shared" si="0"/>
        <v>32</v>
      </c>
    </row>
    <row r="39" spans="1:13" x14ac:dyDescent="0.45">
      <c r="A39" s="59">
        <f t="shared" si="0"/>
        <v>33</v>
      </c>
      <c r="B39" s="59">
        <v>1</v>
      </c>
      <c r="C39" s="59">
        <v>2</v>
      </c>
      <c r="D39" s="59">
        <v>3</v>
      </c>
      <c r="E39" s="59">
        <v>4</v>
      </c>
      <c r="F39" s="59">
        <v>5</v>
      </c>
      <c r="G39" s="59">
        <v>6</v>
      </c>
      <c r="H39" s="59">
        <v>7</v>
      </c>
      <c r="I39" s="59">
        <v>8</v>
      </c>
      <c r="J39" s="59">
        <v>9</v>
      </c>
      <c r="K39" s="59">
        <v>10</v>
      </c>
    </row>
    <row r="40" spans="1:13" x14ac:dyDescent="0.45">
      <c r="A40" s="59">
        <f t="shared" si="0"/>
        <v>34</v>
      </c>
      <c r="L40" s="56"/>
    </row>
    <row r="41" spans="1:13" x14ac:dyDescent="0.45">
      <c r="A41" s="59">
        <f t="shared" si="0"/>
        <v>35</v>
      </c>
      <c r="D41" s="172" t="s">
        <v>648</v>
      </c>
      <c r="E41" s="172"/>
      <c r="F41" s="172" t="s">
        <v>649</v>
      </c>
      <c r="G41" s="172"/>
      <c r="H41" s="172" t="s">
        <v>650</v>
      </c>
      <c r="I41" s="172"/>
      <c r="J41" s="172" t="s">
        <v>753</v>
      </c>
      <c r="K41" s="172"/>
      <c r="L41" s="120" t="s">
        <v>776</v>
      </c>
      <c r="M41" s="58" t="s">
        <v>233</v>
      </c>
    </row>
    <row r="42" spans="1:13" x14ac:dyDescent="0.45">
      <c r="A42" s="59">
        <f t="shared" si="0"/>
        <v>36</v>
      </c>
      <c r="D42" s="65" t="s">
        <v>667</v>
      </c>
      <c r="E42" s="65" t="s">
        <v>34</v>
      </c>
      <c r="F42" s="65" t="s">
        <v>667</v>
      </c>
      <c r="G42" s="65" t="s">
        <v>34</v>
      </c>
      <c r="H42" s="65" t="s">
        <v>667</v>
      </c>
      <c r="I42" s="65" t="s">
        <v>34</v>
      </c>
      <c r="J42" s="65" t="s">
        <v>667</v>
      </c>
      <c r="K42" s="65" t="s">
        <v>34</v>
      </c>
      <c r="L42" s="65"/>
      <c r="M42" s="21"/>
    </row>
    <row r="43" spans="1:13" x14ac:dyDescent="0.45">
      <c r="A43" s="59">
        <f t="shared" si="0"/>
        <v>37</v>
      </c>
      <c r="B43" s="59">
        <v>100</v>
      </c>
      <c r="C43" s="59" t="s">
        <v>664</v>
      </c>
      <c r="D43" s="60"/>
      <c r="E43" s="60"/>
      <c r="F43" s="60"/>
      <c r="G43" s="60"/>
      <c r="H43" s="60"/>
      <c r="I43" s="60"/>
      <c r="J43" s="60"/>
      <c r="K43" s="60"/>
      <c r="L43" s="60"/>
      <c r="M43" s="60">
        <f t="shared" ref="M43:M52" si="6">SUM(D43:L43)</f>
        <v>0</v>
      </c>
    </row>
    <row r="44" spans="1:13" x14ac:dyDescent="0.45">
      <c r="A44" s="59">
        <f t="shared" si="0"/>
        <v>38</v>
      </c>
      <c r="B44" s="59">
        <v>101</v>
      </c>
      <c r="C44" s="59" t="s">
        <v>777</v>
      </c>
      <c r="D44" s="60">
        <v>0</v>
      </c>
      <c r="E44" s="60">
        <v>0</v>
      </c>
      <c r="F44" s="60">
        <v>0</v>
      </c>
      <c r="G44" s="60">
        <v>0</v>
      </c>
      <c r="H44" s="60">
        <v>0</v>
      </c>
      <c r="I44" s="60">
        <v>0</v>
      </c>
      <c r="J44" s="60">
        <v>0</v>
      </c>
      <c r="K44" s="60">
        <v>0</v>
      </c>
      <c r="L44" s="60">
        <v>1</v>
      </c>
      <c r="M44" s="60">
        <f t="shared" si="6"/>
        <v>1</v>
      </c>
    </row>
    <row r="45" spans="1:13" x14ac:dyDescent="0.45">
      <c r="A45" s="59">
        <f t="shared" si="0"/>
        <v>39</v>
      </c>
      <c r="B45" s="59">
        <v>102</v>
      </c>
      <c r="C45" s="59" t="s">
        <v>665</v>
      </c>
      <c r="D45" s="60">
        <f>+'Delivery Pts'!E32+'Delivery Pts'!F32</f>
        <v>1.7191977077363897E-2</v>
      </c>
      <c r="E45" s="60"/>
      <c r="F45" s="60">
        <f>+'Delivery Pts'!G32+'Delivery Pts'!H32</f>
        <v>1.4326647564469915E-2</v>
      </c>
      <c r="G45" s="60"/>
      <c r="H45" s="60">
        <f>+'Delivery Pts'!I32+'Delivery Pts'!J32</f>
        <v>4.8710601719197708E-2</v>
      </c>
      <c r="I45" s="60"/>
      <c r="J45" s="60">
        <f>+'Delivery Pts'!K32+'Delivery Pts'!L32</f>
        <v>0</v>
      </c>
      <c r="K45" s="60"/>
      <c r="L45" s="60">
        <f>+'Delivery Pts'!C32+'Delivery Pts'!D32</f>
        <v>0.91977077363896853</v>
      </c>
      <c r="M45" s="60">
        <f t="shared" si="6"/>
        <v>1</v>
      </c>
    </row>
    <row r="46" spans="1:13" x14ac:dyDescent="0.45">
      <c r="A46" s="59">
        <f t="shared" si="0"/>
        <v>40</v>
      </c>
      <c r="B46" s="59">
        <v>103</v>
      </c>
      <c r="C46" s="59" t="s">
        <v>666</v>
      </c>
      <c r="D46" s="60">
        <f>+'Delivery Pts'!E32</f>
        <v>2.8653295128939827E-3</v>
      </c>
      <c r="E46" s="60">
        <f>'Delivery Pts'!F32</f>
        <v>1.4326647564469915E-2</v>
      </c>
      <c r="F46" s="60">
        <f>+'Delivery Pts'!G32</f>
        <v>1.4326647564469915E-2</v>
      </c>
      <c r="G46" s="60">
        <f>+'Delivery Pts'!H32</f>
        <v>0</v>
      </c>
      <c r="H46" s="60">
        <f>+'Delivery Pts'!I32</f>
        <v>4.8710601719197708E-2</v>
      </c>
      <c r="I46" s="60">
        <f>+'Delivery Pts'!J32</f>
        <v>0</v>
      </c>
      <c r="J46" s="60">
        <f>+'Delivery Pts'!K32</f>
        <v>0</v>
      </c>
      <c r="K46" s="60">
        <f>+'Delivery Pts'!L32</f>
        <v>0</v>
      </c>
      <c r="L46" s="60">
        <f>+'Delivery Pts'!C32+'Delivery Pts'!D32</f>
        <v>0.91977077363896853</v>
      </c>
      <c r="M46" s="60">
        <f t="shared" si="6"/>
        <v>1</v>
      </c>
    </row>
    <row r="47" spans="1:13" x14ac:dyDescent="0.45">
      <c r="A47" s="59">
        <f t="shared" si="0"/>
        <v>41</v>
      </c>
      <c r="B47" s="59">
        <v>104</v>
      </c>
      <c r="C47" s="59" t="s">
        <v>668</v>
      </c>
      <c r="D47" s="60">
        <f>+Expenses!G273</f>
        <v>1.5473004850701037E-4</v>
      </c>
      <c r="E47" s="60"/>
      <c r="F47" s="60">
        <f>+Expenses!H273</f>
        <v>3.4590774045887922E-4</v>
      </c>
      <c r="G47" s="60"/>
      <c r="H47" s="60">
        <f>+Expenses!I273</f>
        <v>2.4741107282576845E-3</v>
      </c>
      <c r="I47" s="60"/>
      <c r="J47" s="60">
        <f>+Expenses!J273</f>
        <v>0</v>
      </c>
      <c r="K47" s="60"/>
      <c r="L47" s="60">
        <f>+Expenses!K273</f>
        <v>0.99702525148277654</v>
      </c>
      <c r="M47" s="60">
        <f t="shared" si="6"/>
        <v>1.0000000000000002</v>
      </c>
    </row>
    <row r="48" spans="1:13" x14ac:dyDescent="0.45">
      <c r="A48" s="59">
        <f t="shared" si="0"/>
        <v>42</v>
      </c>
      <c r="B48" s="59">
        <v>105</v>
      </c>
      <c r="C48" s="59" t="s">
        <v>771</v>
      </c>
      <c r="D48" s="60">
        <f>+Expenses!G276</f>
        <v>6.3417349002499153E-3</v>
      </c>
      <c r="E48" s="60"/>
      <c r="F48" s="60">
        <f>+Expenses!H276</f>
        <v>1.4177305643611143E-2</v>
      </c>
      <c r="G48" s="60"/>
      <c r="H48" s="60">
        <f>+Expenses!I276</f>
        <v>0.10140340873585142</v>
      </c>
      <c r="I48" s="60"/>
      <c r="J48" s="60">
        <f>+Expenses!J276</f>
        <v>0</v>
      </c>
      <c r="K48" s="60"/>
      <c r="L48" s="60">
        <f>+Expenses!K276</f>
        <v>0.87807755072029237</v>
      </c>
      <c r="M48" s="60">
        <f t="shared" si="6"/>
        <v>1.0000000000000049</v>
      </c>
    </row>
    <row r="49" spans="1:13" x14ac:dyDescent="0.45">
      <c r="A49" s="59">
        <f t="shared" si="0"/>
        <v>43</v>
      </c>
      <c r="B49" s="59">
        <v>106</v>
      </c>
      <c r="C49" s="59" t="s">
        <v>669</v>
      </c>
      <c r="D49" s="60">
        <f>+D21+E21</f>
        <v>4.5700762856590539E-3</v>
      </c>
      <c r="E49" s="60"/>
      <c r="F49" s="60">
        <f>+F21+G21</f>
        <v>3.8083969047158785E-3</v>
      </c>
      <c r="G49" s="60"/>
      <c r="H49" s="60">
        <f>+H21+I21</f>
        <v>1.2948549476033987E-2</v>
      </c>
      <c r="I49" s="60"/>
      <c r="J49" s="60">
        <f>+J21+K21</f>
        <v>0</v>
      </c>
      <c r="K49" s="60"/>
      <c r="L49" s="60">
        <f>+L21</f>
        <v>0.97867297733359104</v>
      </c>
      <c r="M49" s="60">
        <f t="shared" si="6"/>
        <v>1</v>
      </c>
    </row>
    <row r="50" spans="1:13" x14ac:dyDescent="0.45">
      <c r="A50" s="59">
        <f t="shared" si="0"/>
        <v>44</v>
      </c>
      <c r="B50" s="59">
        <v>107</v>
      </c>
      <c r="C50" s="59" t="s">
        <v>670</v>
      </c>
      <c r="D50" s="60">
        <f t="shared" ref="D50:L50" si="7">+D21</f>
        <v>7.6167938094317557E-4</v>
      </c>
      <c r="E50" s="60">
        <f t="shared" si="7"/>
        <v>3.8083969047158785E-3</v>
      </c>
      <c r="F50" s="60">
        <f t="shared" si="7"/>
        <v>3.8083969047158785E-3</v>
      </c>
      <c r="G50" s="60">
        <f t="shared" si="7"/>
        <v>0</v>
      </c>
      <c r="H50" s="60">
        <f t="shared" si="7"/>
        <v>1.2948549476033987E-2</v>
      </c>
      <c r="I50" s="60">
        <f t="shared" si="7"/>
        <v>0</v>
      </c>
      <c r="J50" s="60">
        <f t="shared" si="7"/>
        <v>0</v>
      </c>
      <c r="K50" s="60">
        <f t="shared" si="7"/>
        <v>0</v>
      </c>
      <c r="L50" s="60">
        <f t="shared" si="7"/>
        <v>0.97867297733359104</v>
      </c>
      <c r="M50" s="60">
        <f t="shared" si="6"/>
        <v>1</v>
      </c>
    </row>
    <row r="51" spans="1:13" x14ac:dyDescent="0.45">
      <c r="A51" s="59">
        <f t="shared" si="0"/>
        <v>45</v>
      </c>
      <c r="B51" s="59">
        <v>108</v>
      </c>
      <c r="C51" s="59" t="s">
        <v>671</v>
      </c>
      <c r="D51" s="60">
        <v>0</v>
      </c>
      <c r="E51" s="60">
        <v>0</v>
      </c>
      <c r="F51" s="60">
        <v>0</v>
      </c>
      <c r="G51" s="60">
        <v>0</v>
      </c>
      <c r="H51" s="60">
        <v>0</v>
      </c>
      <c r="I51" s="60">
        <v>0</v>
      </c>
      <c r="J51" s="60">
        <v>0</v>
      </c>
      <c r="K51" s="60">
        <v>0</v>
      </c>
      <c r="L51" s="60">
        <v>1</v>
      </c>
      <c r="M51" s="60">
        <f t="shared" si="6"/>
        <v>1</v>
      </c>
    </row>
    <row r="52" spans="1:13" x14ac:dyDescent="0.45">
      <c r="A52" s="59">
        <f t="shared" si="0"/>
        <v>46</v>
      </c>
      <c r="B52" s="59">
        <v>109</v>
      </c>
      <c r="C52" s="59" t="s">
        <v>672</v>
      </c>
      <c r="D52" s="60">
        <f>+Plant!G115</f>
        <v>5.0952174898997778E-3</v>
      </c>
      <c r="E52" s="60">
        <f>+Plant!H115</f>
        <v>5.1840770240275313E-3</v>
      </c>
      <c r="F52" s="60">
        <f>+Plant!I115</f>
        <v>2.4126560884352662E-2</v>
      </c>
      <c r="G52" s="60">
        <f>+Plant!J115</f>
        <v>0</v>
      </c>
      <c r="H52" s="60">
        <f>+Plant!K115</f>
        <v>4.6867989004533823E-2</v>
      </c>
      <c r="I52" s="60">
        <f>+Plant!L115</f>
        <v>0</v>
      </c>
      <c r="J52" s="60">
        <f>+Plant!M115</f>
        <v>0</v>
      </c>
      <c r="K52" s="60">
        <f>+Plant!N115</f>
        <v>0</v>
      </c>
      <c r="L52" s="60">
        <f>+Plant!O115</f>
        <v>0.91872615559718618</v>
      </c>
      <c r="M52" s="60">
        <f t="shared" si="6"/>
        <v>1</v>
      </c>
    </row>
    <row r="53" spans="1:13" x14ac:dyDescent="0.45">
      <c r="A53" s="59">
        <f t="shared" si="0"/>
        <v>47</v>
      </c>
      <c r="D53" s="71"/>
      <c r="E53" s="71"/>
      <c r="F53" s="71"/>
      <c r="G53" s="71"/>
      <c r="H53" s="71"/>
      <c r="I53" s="71"/>
      <c r="J53" s="71"/>
      <c r="K53" s="71"/>
      <c r="L53" s="71"/>
      <c r="M53" s="71"/>
    </row>
    <row r="54" spans="1:13" x14ac:dyDescent="0.45">
      <c r="A54" s="59">
        <f t="shared" si="0"/>
        <v>48</v>
      </c>
      <c r="B54" s="59">
        <v>200</v>
      </c>
      <c r="D54" s="71"/>
      <c r="E54" s="71"/>
      <c r="F54" s="71"/>
      <c r="G54" s="71"/>
      <c r="H54" s="71"/>
      <c r="I54" s="71"/>
      <c r="J54" s="71"/>
      <c r="K54" s="71"/>
      <c r="L54" s="71"/>
      <c r="M54" s="71"/>
    </row>
    <row r="55" spans="1:13" x14ac:dyDescent="0.45">
      <c r="A55" s="59">
        <f t="shared" si="0"/>
        <v>49</v>
      </c>
      <c r="B55" s="59">
        <v>201</v>
      </c>
      <c r="C55" s="59" t="s">
        <v>679</v>
      </c>
      <c r="D55" s="60">
        <f>+Plant!G122</f>
        <v>0.77549703639154244</v>
      </c>
      <c r="E55" s="60">
        <f>+Plant!H122</f>
        <v>0.22450296360845756</v>
      </c>
      <c r="F55" s="60">
        <f>+Plant!I122</f>
        <v>1</v>
      </c>
      <c r="G55" s="60">
        <f>+Plant!J122</f>
        <v>0</v>
      </c>
      <c r="H55" s="60">
        <f>+Plant!K122</f>
        <v>1</v>
      </c>
      <c r="I55" s="60">
        <f>+Plant!L122</f>
        <v>0</v>
      </c>
      <c r="J55" s="60">
        <f>+Plant!M122</f>
        <v>0</v>
      </c>
      <c r="K55" s="60">
        <f>+Plant!N122</f>
        <v>0</v>
      </c>
      <c r="L55" s="60">
        <f>+Plant!O122</f>
        <v>1</v>
      </c>
      <c r="M55" s="60"/>
    </row>
    <row r="56" spans="1:13" x14ac:dyDescent="0.45">
      <c r="A56" s="59">
        <f t="shared" si="0"/>
        <v>50</v>
      </c>
      <c r="B56" s="59">
        <v>202</v>
      </c>
      <c r="C56" s="59" t="s">
        <v>680</v>
      </c>
      <c r="D56" s="60">
        <f>+Plant!G127</f>
        <v>0.77397513606693547</v>
      </c>
      <c r="E56" s="60">
        <f>+Plant!H127</f>
        <v>0.22602486393306448</v>
      </c>
      <c r="F56" s="60">
        <f>+Plant!I127</f>
        <v>1</v>
      </c>
      <c r="G56" s="60">
        <f>+Plant!J127</f>
        <v>0</v>
      </c>
      <c r="H56" s="60">
        <f>+Plant!K127</f>
        <v>1</v>
      </c>
      <c r="I56" s="60">
        <f>+Plant!L127</f>
        <v>0</v>
      </c>
      <c r="J56" s="60">
        <f>+Plant!M127</f>
        <v>0</v>
      </c>
      <c r="K56" s="60">
        <f>+Plant!N127</f>
        <v>0</v>
      </c>
      <c r="L56" s="60">
        <f>+Plant!O127</f>
        <v>1</v>
      </c>
      <c r="M56" s="60"/>
    </row>
    <row r="57" spans="1:13" x14ac:dyDescent="0.45">
      <c r="A57" s="59">
        <f t="shared" si="0"/>
        <v>51</v>
      </c>
      <c r="B57" s="59">
        <v>203</v>
      </c>
      <c r="C57" s="59" t="s">
        <v>681</v>
      </c>
      <c r="D57" s="60">
        <f>+Plant!G135</f>
        <v>0.22971955106465169</v>
      </c>
      <c r="E57" s="60">
        <f>+Plant!H135</f>
        <v>0.77028044893534831</v>
      </c>
      <c r="F57" s="60">
        <f>+Plant!I135</f>
        <v>1</v>
      </c>
      <c r="G57" s="60">
        <f>+Plant!J135</f>
        <v>0</v>
      </c>
      <c r="H57" s="60">
        <f>+Plant!K135</f>
        <v>1</v>
      </c>
      <c r="I57" s="60">
        <f>+Plant!L135</f>
        <v>0</v>
      </c>
      <c r="J57" s="60">
        <f>+Plant!M135</f>
        <v>0</v>
      </c>
      <c r="K57" s="60">
        <f>+Plant!N135</f>
        <v>0</v>
      </c>
      <c r="L57" s="60">
        <f>+Plant!O135</f>
        <v>1</v>
      </c>
      <c r="M57" s="60"/>
    </row>
    <row r="58" spans="1:13" x14ac:dyDescent="0.45">
      <c r="A58" s="59">
        <f t="shared" si="0"/>
        <v>52</v>
      </c>
      <c r="B58" s="59">
        <v>204</v>
      </c>
      <c r="C58" s="59" t="s">
        <v>666</v>
      </c>
      <c r="D58" s="60">
        <f>+'Delivery Pts'!E34</f>
        <v>0.16666666666666666</v>
      </c>
      <c r="E58" s="60">
        <f>+'Delivery Pts'!F34</f>
        <v>0.83333333333333337</v>
      </c>
      <c r="F58" s="60">
        <f>+'Delivery Pts'!G34</f>
        <v>1</v>
      </c>
      <c r="G58" s="60">
        <f>+'Delivery Pts'!H34</f>
        <v>0</v>
      </c>
      <c r="H58" s="60">
        <f>+'Delivery Pts'!I34</f>
        <v>1</v>
      </c>
      <c r="I58" s="60">
        <f>+'Delivery Pts'!J34</f>
        <v>0</v>
      </c>
      <c r="J58" s="60">
        <f>+'Delivery Pts'!K34</f>
        <v>0</v>
      </c>
      <c r="K58" s="60">
        <f>+'Delivery Pts'!L34</f>
        <v>0</v>
      </c>
      <c r="L58" s="60">
        <f>+'Delivery Pts'!C34+'Delivery Pts'!D34</f>
        <v>1</v>
      </c>
      <c r="M58" s="60"/>
    </row>
    <row r="59" spans="1:13" x14ac:dyDescent="0.45">
      <c r="A59" s="59">
        <f t="shared" si="0"/>
        <v>53</v>
      </c>
      <c r="B59" s="59">
        <v>205</v>
      </c>
      <c r="C59" s="59" t="s">
        <v>683</v>
      </c>
      <c r="D59" s="60">
        <f>+Plant!G141</f>
        <v>0.49750054312068603</v>
      </c>
      <c r="E59" s="60">
        <f>+Plant!H141</f>
        <v>0.50249945687931397</v>
      </c>
      <c r="F59" s="60">
        <f>+Plant!I141</f>
        <v>1</v>
      </c>
      <c r="G59" s="60">
        <f>+Plant!J141</f>
        <v>0</v>
      </c>
      <c r="H59" s="60">
        <f>+Plant!K141</f>
        <v>1</v>
      </c>
      <c r="I59" s="60">
        <f>+Plant!L141</f>
        <v>0</v>
      </c>
      <c r="J59" s="60">
        <f>+Plant!M141</f>
        <v>0</v>
      </c>
      <c r="K59" s="60">
        <f>+Plant!N141</f>
        <v>0</v>
      </c>
      <c r="L59" s="60">
        <f>+Plant!O141</f>
        <v>1</v>
      </c>
      <c r="M59" s="60"/>
    </row>
    <row r="60" spans="1:13" x14ac:dyDescent="0.45">
      <c r="A60" s="59">
        <f t="shared" si="0"/>
        <v>54</v>
      </c>
      <c r="B60" s="59">
        <v>206</v>
      </c>
      <c r="C60" s="59" t="s">
        <v>684</v>
      </c>
      <c r="D60" s="60">
        <v>0</v>
      </c>
      <c r="E60" s="60">
        <v>0</v>
      </c>
      <c r="F60" s="60">
        <v>0</v>
      </c>
      <c r="G60" s="60">
        <v>0</v>
      </c>
      <c r="H60" s="60">
        <v>0</v>
      </c>
      <c r="I60" s="60">
        <v>0</v>
      </c>
      <c r="J60" s="60">
        <v>0</v>
      </c>
      <c r="K60" s="60">
        <v>0</v>
      </c>
      <c r="L60" s="60">
        <v>1</v>
      </c>
      <c r="M60" s="60"/>
    </row>
    <row r="61" spans="1:13" x14ac:dyDescent="0.45">
      <c r="A61" s="59">
        <f t="shared" si="0"/>
        <v>55</v>
      </c>
      <c r="B61" s="59">
        <v>207</v>
      </c>
      <c r="D61" s="60"/>
      <c r="E61" s="60"/>
      <c r="F61" s="60"/>
      <c r="G61" s="60"/>
      <c r="H61" s="60"/>
      <c r="I61" s="60"/>
      <c r="J61" s="60"/>
      <c r="K61" s="60"/>
      <c r="L61" s="60"/>
      <c r="M61" s="60"/>
    </row>
    <row r="62" spans="1:13" x14ac:dyDescent="0.45">
      <c r="A62" s="59">
        <f t="shared" si="0"/>
        <v>56</v>
      </c>
      <c r="B62" s="59">
        <v>208</v>
      </c>
      <c r="C62" s="59" t="str">
        <f>+C46</f>
        <v>Delivery Points Region</v>
      </c>
      <c r="D62" s="60">
        <f>+D46</f>
        <v>2.8653295128939827E-3</v>
      </c>
      <c r="E62" s="60">
        <f t="shared" ref="E62:K62" si="8">+E46</f>
        <v>1.4326647564469915E-2</v>
      </c>
      <c r="F62" s="60">
        <f t="shared" si="8"/>
        <v>1.4326647564469915E-2</v>
      </c>
      <c r="G62" s="60">
        <f t="shared" si="8"/>
        <v>0</v>
      </c>
      <c r="H62" s="60">
        <f t="shared" si="8"/>
        <v>4.8710601719197708E-2</v>
      </c>
      <c r="I62" s="60">
        <f t="shared" si="8"/>
        <v>0</v>
      </c>
      <c r="J62" s="60">
        <f t="shared" si="8"/>
        <v>0</v>
      </c>
      <c r="K62" s="60">
        <f t="shared" si="8"/>
        <v>0</v>
      </c>
      <c r="L62" s="60">
        <v>1</v>
      </c>
      <c r="M62" s="60"/>
    </row>
    <row r="63" spans="1:13" x14ac:dyDescent="0.45">
      <c r="A63" s="59">
        <f t="shared" si="0"/>
        <v>57</v>
      </c>
      <c r="B63" s="59">
        <v>209</v>
      </c>
      <c r="C63" s="21" t="s">
        <v>700</v>
      </c>
      <c r="D63" s="60">
        <f>+Plant!G130</f>
        <v>0.77248348829117142</v>
      </c>
      <c r="E63" s="60">
        <f>+Plant!H130</f>
        <v>0.22751651170882858</v>
      </c>
      <c r="F63" s="60">
        <f>+Plant!I130</f>
        <v>1</v>
      </c>
      <c r="G63" s="60">
        <f>+Plant!J130</f>
        <v>0</v>
      </c>
      <c r="H63" s="60">
        <f>+Plant!K130</f>
        <v>1</v>
      </c>
      <c r="I63" s="60">
        <f>+Plant!L130</f>
        <v>0</v>
      </c>
      <c r="J63" s="60">
        <f>+Plant!M130</f>
        <v>0</v>
      </c>
      <c r="K63" s="60">
        <f>+Plant!N130</f>
        <v>0</v>
      </c>
      <c r="L63" s="60">
        <f>+Plant!O130</f>
        <v>1</v>
      </c>
      <c r="M63" s="60"/>
    </row>
    <row r="64" spans="1:13" x14ac:dyDescent="0.45">
      <c r="A64" s="59">
        <f t="shared" si="0"/>
        <v>58</v>
      </c>
      <c r="B64" s="59">
        <v>210</v>
      </c>
      <c r="C64" s="21" t="s">
        <v>701</v>
      </c>
      <c r="D64" s="60">
        <f>+Plant!G138</f>
        <v>0.23124984555597897</v>
      </c>
      <c r="E64" s="60">
        <f>+Plant!H138</f>
        <v>0.76875015444402106</v>
      </c>
      <c r="F64" s="60">
        <f>+Plant!I138</f>
        <v>1</v>
      </c>
      <c r="G64" s="60">
        <f>+Plant!J138</f>
        <v>0</v>
      </c>
      <c r="H64" s="60">
        <f>+Plant!K138</f>
        <v>1</v>
      </c>
      <c r="I64" s="60">
        <f>+Plant!L138</f>
        <v>0</v>
      </c>
      <c r="J64" s="60">
        <f>+Plant!M138</f>
        <v>0</v>
      </c>
      <c r="K64" s="60">
        <f>+Plant!N138</f>
        <v>0</v>
      </c>
      <c r="L64" s="60">
        <f>+Plant!O138</f>
        <v>1</v>
      </c>
      <c r="M64" s="60"/>
    </row>
    <row r="65" spans="1:13" x14ac:dyDescent="0.45">
      <c r="A65" s="59">
        <f t="shared" si="0"/>
        <v>59</v>
      </c>
      <c r="B65" s="59">
        <v>211</v>
      </c>
      <c r="D65" s="60"/>
      <c r="E65" s="60"/>
      <c r="F65" s="60"/>
      <c r="G65" s="60"/>
      <c r="H65" s="60"/>
      <c r="I65" s="60"/>
      <c r="J65" s="60"/>
      <c r="K65" s="60"/>
      <c r="L65" s="60"/>
      <c r="M65" s="60"/>
    </row>
    <row r="66" spans="1:13" x14ac:dyDescent="0.45">
      <c r="A66" s="59">
        <f t="shared" si="0"/>
        <v>60</v>
      </c>
      <c r="B66" s="59">
        <v>212</v>
      </c>
      <c r="D66" s="60"/>
      <c r="E66" s="60"/>
      <c r="F66" s="60"/>
      <c r="G66" s="60"/>
      <c r="H66" s="60"/>
      <c r="I66" s="60"/>
      <c r="J66" s="60"/>
      <c r="K66" s="60"/>
      <c r="L66" s="60"/>
      <c r="M66" s="60"/>
    </row>
    <row r="67" spans="1:13" x14ac:dyDescent="0.45">
      <c r="A67" s="59">
        <f t="shared" si="0"/>
        <v>61</v>
      </c>
      <c r="B67" s="59">
        <v>213</v>
      </c>
      <c r="C67" s="59" t="s">
        <v>702</v>
      </c>
      <c r="D67" s="60">
        <f>+Plant!V127</f>
        <v>0.77397513606693547</v>
      </c>
      <c r="E67" s="60">
        <f>+Plant!W127</f>
        <v>0.22602486393306448</v>
      </c>
      <c r="F67" s="60">
        <f>+Plant!X127</f>
        <v>1</v>
      </c>
      <c r="G67" s="60">
        <f>+Plant!Y127</f>
        <v>0</v>
      </c>
      <c r="H67" s="60">
        <f>+Plant!Z127</f>
        <v>1</v>
      </c>
      <c r="I67" s="60">
        <f>+Plant!AA127</f>
        <v>0</v>
      </c>
      <c r="J67" s="60">
        <f>+Plant!AB127</f>
        <v>0</v>
      </c>
      <c r="K67" s="60">
        <f>+Plant!AC127</f>
        <v>0</v>
      </c>
      <c r="L67" s="60">
        <f>+Plant!AD127</f>
        <v>1</v>
      </c>
      <c r="M67" s="60"/>
    </row>
    <row r="68" spans="1:13" x14ac:dyDescent="0.45">
      <c r="A68" s="59">
        <f t="shared" si="0"/>
        <v>62</v>
      </c>
      <c r="B68" s="59">
        <v>214</v>
      </c>
      <c r="C68" s="59" t="s">
        <v>705</v>
      </c>
      <c r="D68" s="84">
        <f>+Plant!V130</f>
        <v>0.77248348829117142</v>
      </c>
      <c r="E68" s="84">
        <f>+Plant!W130</f>
        <v>0.22751651170882858</v>
      </c>
      <c r="F68" s="84">
        <f>+Plant!X130</f>
        <v>1</v>
      </c>
      <c r="G68" s="84">
        <f>+Plant!Y130</f>
        <v>0</v>
      </c>
      <c r="H68" s="84">
        <f>+Plant!Z130</f>
        <v>1</v>
      </c>
      <c r="I68" s="84">
        <f>+Plant!AA130</f>
        <v>0</v>
      </c>
      <c r="J68" s="84">
        <f>+Plant!AB130</f>
        <v>0</v>
      </c>
      <c r="K68" s="84">
        <f>+Plant!AC130</f>
        <v>0</v>
      </c>
      <c r="L68" s="84">
        <f>+Plant!AD130</f>
        <v>1</v>
      </c>
    </row>
    <row r="69" spans="1:13" x14ac:dyDescent="0.45">
      <c r="A69" s="59">
        <f t="shared" si="0"/>
        <v>63</v>
      </c>
      <c r="B69" s="59">
        <v>215</v>
      </c>
      <c r="C69" s="2" t="s">
        <v>703</v>
      </c>
      <c r="D69" s="84">
        <f>+Plant!V135</f>
        <v>0.23124984555597899</v>
      </c>
      <c r="E69" s="84">
        <f>+Plant!W135</f>
        <v>0.76875015444402106</v>
      </c>
      <c r="F69" s="84">
        <f>+Plant!X135</f>
        <v>1</v>
      </c>
      <c r="G69" s="84">
        <f>+Plant!Y135</f>
        <v>0</v>
      </c>
      <c r="H69" s="84">
        <f>+Plant!Z135</f>
        <v>1</v>
      </c>
      <c r="I69" s="84">
        <f>+Plant!AA135</f>
        <v>0</v>
      </c>
      <c r="J69" s="84">
        <f>+Plant!AB135</f>
        <v>0</v>
      </c>
      <c r="K69" s="84">
        <f>+Plant!AC135</f>
        <v>0</v>
      </c>
      <c r="L69" s="84">
        <f>+Plant!AD135</f>
        <v>1</v>
      </c>
    </row>
    <row r="70" spans="1:13" x14ac:dyDescent="0.45">
      <c r="A70" s="59">
        <f t="shared" si="0"/>
        <v>64</v>
      </c>
      <c r="B70" s="59">
        <v>216</v>
      </c>
      <c r="C70" s="2" t="s">
        <v>704</v>
      </c>
      <c r="D70" s="84">
        <f>+Plant!V138</f>
        <v>0.23124984555597899</v>
      </c>
      <c r="E70" s="84">
        <f>+Plant!W138</f>
        <v>0.76875015444402106</v>
      </c>
      <c r="F70" s="84">
        <f>+Plant!X138</f>
        <v>1</v>
      </c>
      <c r="G70" s="84">
        <f>+Plant!Y138</f>
        <v>0</v>
      </c>
      <c r="H70" s="84">
        <f>+Plant!Z138</f>
        <v>1</v>
      </c>
      <c r="I70" s="84">
        <f>+Plant!AA138</f>
        <v>0</v>
      </c>
      <c r="J70" s="84">
        <f>+Plant!AB138</f>
        <v>0</v>
      </c>
      <c r="K70" s="84">
        <f>+Plant!AC138</f>
        <v>0</v>
      </c>
      <c r="L70" s="84">
        <f>+Plant!AD138</f>
        <v>1</v>
      </c>
    </row>
    <row r="71" spans="1:13" x14ac:dyDescent="0.45">
      <c r="A71" s="59">
        <f t="shared" si="0"/>
        <v>65</v>
      </c>
      <c r="B71" s="59">
        <v>217</v>
      </c>
      <c r="C71" s="2" t="s">
        <v>706</v>
      </c>
      <c r="D71" s="84">
        <f>+Plant!V141</f>
        <v>0.72787819812159049</v>
      </c>
      <c r="E71" s="84">
        <f>+Plant!W141</f>
        <v>0.27212180187840962</v>
      </c>
      <c r="F71" s="84">
        <f>+Plant!X141</f>
        <v>1</v>
      </c>
      <c r="G71" s="84">
        <f>+Plant!Y141</f>
        <v>0</v>
      </c>
      <c r="H71" s="84">
        <f>+Plant!Z141</f>
        <v>1</v>
      </c>
      <c r="I71" s="84">
        <f>+Plant!AA141</f>
        <v>0</v>
      </c>
      <c r="J71" s="84">
        <f>+Plant!AB141</f>
        <v>0</v>
      </c>
      <c r="K71" s="84">
        <f>+Plant!AC141</f>
        <v>0</v>
      </c>
      <c r="L71" s="84">
        <f>+Plant!AD141</f>
        <v>1</v>
      </c>
    </row>
    <row r="72" spans="1:13" x14ac:dyDescent="0.45">
      <c r="A72" s="59">
        <f t="shared" ref="A72:A80" si="9">+A71+1</f>
        <v>66</v>
      </c>
      <c r="C72" s="2"/>
      <c r="D72" s="2"/>
      <c r="E72" s="65"/>
      <c r="F72" s="21"/>
      <c r="G72" s="65"/>
    </row>
    <row r="73" spans="1:13" x14ac:dyDescent="0.45">
      <c r="A73" s="59">
        <f t="shared" si="9"/>
        <v>67</v>
      </c>
      <c r="B73" s="2">
        <v>300</v>
      </c>
      <c r="C73" s="2" t="s">
        <v>686</v>
      </c>
      <c r="D73" s="60">
        <v>1</v>
      </c>
      <c r="E73" s="60">
        <v>1</v>
      </c>
      <c r="F73" s="60">
        <v>1</v>
      </c>
      <c r="G73" s="60">
        <v>1</v>
      </c>
      <c r="H73" s="60">
        <v>1</v>
      </c>
      <c r="I73" s="60">
        <v>1</v>
      </c>
      <c r="J73" s="60">
        <v>1</v>
      </c>
      <c r="K73" s="60">
        <v>1</v>
      </c>
      <c r="L73" s="60">
        <v>1</v>
      </c>
    </row>
    <row r="74" spans="1:13" x14ac:dyDescent="0.45">
      <c r="A74" s="59">
        <f t="shared" si="9"/>
        <v>68</v>
      </c>
      <c r="B74" s="2">
        <v>301</v>
      </c>
      <c r="C74" s="2" t="s">
        <v>728</v>
      </c>
      <c r="D74" s="60">
        <v>9.0499999999999997E-2</v>
      </c>
      <c r="E74" s="60">
        <v>9.0499999999999997E-2</v>
      </c>
      <c r="F74" s="60">
        <v>9.0499999999999997E-2</v>
      </c>
      <c r="G74" s="60">
        <v>9.0499999999999997E-2</v>
      </c>
      <c r="H74" s="60">
        <v>9.0499999999999997E-2</v>
      </c>
      <c r="I74" s="60">
        <v>9.0499999999999997E-2</v>
      </c>
      <c r="J74" s="60">
        <v>9.0499999999999997E-2</v>
      </c>
      <c r="K74" s="60">
        <v>9.0499999999999997E-2</v>
      </c>
      <c r="L74" s="60">
        <v>1</v>
      </c>
    </row>
    <row r="75" spans="1:13" x14ac:dyDescent="0.45">
      <c r="A75" s="59">
        <f t="shared" si="9"/>
        <v>69</v>
      </c>
      <c r="B75" s="2">
        <v>302</v>
      </c>
      <c r="C75" s="2" t="s">
        <v>687</v>
      </c>
      <c r="D75" s="60">
        <v>0</v>
      </c>
      <c r="E75" s="60">
        <v>0</v>
      </c>
      <c r="F75" s="60">
        <v>0</v>
      </c>
      <c r="G75" s="60">
        <v>0</v>
      </c>
      <c r="H75" s="60">
        <v>0</v>
      </c>
      <c r="I75" s="60">
        <v>0</v>
      </c>
      <c r="J75" s="60">
        <v>0</v>
      </c>
      <c r="K75" s="60">
        <v>0</v>
      </c>
      <c r="L75" s="60">
        <v>1</v>
      </c>
    </row>
    <row r="76" spans="1:13" x14ac:dyDescent="0.45">
      <c r="A76" s="59">
        <f t="shared" si="9"/>
        <v>70</v>
      </c>
      <c r="B76" s="2">
        <v>303</v>
      </c>
      <c r="C76" s="2"/>
      <c r="D76" s="60"/>
      <c r="E76" s="60"/>
      <c r="F76" s="60"/>
      <c r="G76" s="60"/>
      <c r="H76" s="60"/>
      <c r="I76" s="60"/>
      <c r="J76" s="60"/>
      <c r="K76" s="60"/>
      <c r="L76" s="60"/>
    </row>
    <row r="77" spans="1:13" x14ac:dyDescent="0.45">
      <c r="A77" s="59">
        <f t="shared" si="9"/>
        <v>71</v>
      </c>
      <c r="B77" s="2">
        <v>304</v>
      </c>
      <c r="C77" s="2" t="s">
        <v>699</v>
      </c>
      <c r="D77" s="60">
        <v>0</v>
      </c>
      <c r="E77" s="60">
        <v>0</v>
      </c>
      <c r="F77" s="60">
        <v>0</v>
      </c>
      <c r="G77" s="60">
        <v>0</v>
      </c>
      <c r="H77" s="60">
        <v>0</v>
      </c>
      <c r="I77" s="60">
        <v>0</v>
      </c>
      <c r="J77" s="60">
        <v>0</v>
      </c>
      <c r="K77" s="60">
        <v>0</v>
      </c>
      <c r="L77" s="60">
        <v>0</v>
      </c>
    </row>
    <row r="78" spans="1:13" x14ac:dyDescent="0.45">
      <c r="A78" s="59">
        <f t="shared" si="9"/>
        <v>72</v>
      </c>
      <c r="B78" s="2">
        <v>305</v>
      </c>
      <c r="C78" s="59" t="s">
        <v>712</v>
      </c>
      <c r="D78" s="60">
        <f t="shared" ref="D78:L78" ca="1" si="10">+D26</f>
        <v>0.78613915263228928</v>
      </c>
      <c r="E78" s="60">
        <f t="shared" ca="1" si="10"/>
        <v>0.27915842571634636</v>
      </c>
      <c r="F78" s="60">
        <f t="shared" ca="1" si="10"/>
        <v>0.61220258684037387</v>
      </c>
      <c r="G78" s="60">
        <f t="shared" ca="1" si="10"/>
        <v>0</v>
      </c>
      <c r="H78" s="60">
        <f t="shared" ca="1" si="10"/>
        <v>0.30903597492416712</v>
      </c>
      <c r="I78" s="60">
        <f t="shared" ca="1" si="10"/>
        <v>0</v>
      </c>
      <c r="J78" s="60">
        <f t="shared" ca="1" si="10"/>
        <v>0</v>
      </c>
      <c r="K78" s="60">
        <f t="shared" ca="1" si="10"/>
        <v>0</v>
      </c>
      <c r="L78" s="60">
        <f t="shared" ca="1" si="10"/>
        <v>2.3946238176914103</v>
      </c>
    </row>
    <row r="79" spans="1:13" x14ac:dyDescent="0.45">
      <c r="A79" s="59">
        <f t="shared" si="9"/>
        <v>73</v>
      </c>
      <c r="B79" s="2">
        <v>306</v>
      </c>
      <c r="C79" s="59" t="s">
        <v>734</v>
      </c>
      <c r="D79" s="60">
        <f t="shared" ref="D79:L79" si="11">+D31</f>
        <v>0.78666631456733549</v>
      </c>
      <c r="E79" s="60">
        <f t="shared" si="11"/>
        <v>0.29117436906571292</v>
      </c>
      <c r="F79" s="60">
        <f t="shared" si="11"/>
        <v>0.61350396028838661</v>
      </c>
      <c r="G79" s="60">
        <f t="shared" si="11"/>
        <v>0</v>
      </c>
      <c r="H79" s="60">
        <f t="shared" si="11"/>
        <v>0.31243357438584934</v>
      </c>
      <c r="I79" s="60">
        <f t="shared" si="11"/>
        <v>0</v>
      </c>
      <c r="J79" s="60">
        <f t="shared" si="11"/>
        <v>0</v>
      </c>
      <c r="K79" s="60">
        <f t="shared" si="11"/>
        <v>0</v>
      </c>
      <c r="L79" s="60">
        <f t="shared" si="11"/>
        <v>2.2177026924387722</v>
      </c>
    </row>
    <row r="80" spans="1:13" x14ac:dyDescent="0.45">
      <c r="A80" s="59">
        <f t="shared" si="9"/>
        <v>74</v>
      </c>
      <c r="B80" s="2">
        <v>307</v>
      </c>
      <c r="C80" s="59" t="s">
        <v>772</v>
      </c>
      <c r="D80" s="60">
        <f ca="1">+D36</f>
        <v>0.36200946141578028</v>
      </c>
      <c r="E80" s="60">
        <f t="shared" ref="E80:L80" ca="1" si="12">+E36</f>
        <v>0.20114149826679537</v>
      </c>
      <c r="F80" s="60">
        <f t="shared" ca="1" si="12"/>
        <v>0.75837822896333584</v>
      </c>
      <c r="G80" s="60">
        <f t="shared" ca="1" si="12"/>
        <v>0</v>
      </c>
      <c r="H80" s="60">
        <f t="shared" ca="1" si="12"/>
        <v>0.22211518689328016</v>
      </c>
      <c r="I80" s="60">
        <f t="shared" ca="1" si="12"/>
        <v>0</v>
      </c>
      <c r="J80" s="60">
        <f t="shared" ca="1" si="12"/>
        <v>0</v>
      </c>
      <c r="K80" s="60">
        <f t="shared" ca="1" si="12"/>
        <v>0</v>
      </c>
      <c r="L80" s="60">
        <f t="shared" ca="1" si="12"/>
        <v>1.0039496694972876</v>
      </c>
    </row>
    <row r="82" spans="1:1" x14ac:dyDescent="0.45">
      <c r="A82" s="21" t="s">
        <v>850</v>
      </c>
    </row>
  </sheetData>
  <mergeCells count="10">
    <mergeCell ref="C1:J1"/>
    <mergeCell ref="C2:J2"/>
    <mergeCell ref="D41:E41"/>
    <mergeCell ref="F41:G41"/>
    <mergeCell ref="H41:I41"/>
    <mergeCell ref="J41:K41"/>
    <mergeCell ref="D17:E17"/>
    <mergeCell ref="F17:G17"/>
    <mergeCell ref="H17:I17"/>
    <mergeCell ref="J17:K17"/>
  </mergeCells>
  <printOptions horizontalCentered="1"/>
  <pageMargins left="0.5" right="0.5" top="1" bottom="1" header="0.5" footer="0.5"/>
  <pageSetup scale="60" fitToHeight="2" orientation="landscape" r:id="rId1"/>
  <headerFooter alignWithMargins="0">
    <oddHeader xml:space="preserve">&amp;RSchedule D-1.0
</oddHeader>
    <oddFooter>&amp;RPage &amp;P of &amp;N</oddFooter>
  </headerFooter>
  <rowBreaks count="1" manualBreakCount="1">
    <brk id="3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T63"/>
  <sheetViews>
    <sheetView zoomScaleNormal="100" workbookViewId="0">
      <selection activeCell="B3" sqref="B3"/>
    </sheetView>
  </sheetViews>
  <sheetFormatPr defaultColWidth="9.1328125" defaultRowHeight="14.25" x14ac:dyDescent="0.45"/>
  <cols>
    <col min="1" max="1" width="5.86328125" style="21" customWidth="1"/>
    <col min="2" max="2" width="21.86328125" style="21" customWidth="1"/>
    <col min="3" max="3" width="2.73046875" style="21" customWidth="1"/>
    <col min="4" max="16" width="13.265625" style="21" customWidth="1"/>
    <col min="17" max="17" width="9.1328125" style="21"/>
    <col min="18" max="18" width="11.265625" style="21" bestFit="1" customWidth="1"/>
    <col min="19" max="19" width="9.1328125" style="21"/>
    <col min="20" max="20" width="10.265625" style="21" bestFit="1" customWidth="1"/>
    <col min="21" max="16384" width="9.1328125" style="21"/>
  </cols>
  <sheetData>
    <row r="1" spans="1:20" x14ac:dyDescent="0.45">
      <c r="B1" s="170" t="s">
        <v>27</v>
      </c>
      <c r="C1" s="170"/>
      <c r="D1" s="170"/>
      <c r="E1" s="170"/>
      <c r="F1" s="170"/>
      <c r="G1" s="170"/>
      <c r="H1" s="170"/>
      <c r="I1" s="170"/>
      <c r="J1" s="170"/>
      <c r="K1" s="170"/>
      <c r="L1" s="170"/>
      <c r="M1" s="170"/>
      <c r="N1" s="170"/>
      <c r="O1" s="170"/>
      <c r="P1" s="170"/>
    </row>
    <row r="2" spans="1:20" x14ac:dyDescent="0.45">
      <c r="B2" s="170" t="s">
        <v>861</v>
      </c>
      <c r="C2" s="170"/>
      <c r="D2" s="170"/>
      <c r="E2" s="170"/>
      <c r="F2" s="170"/>
      <c r="G2" s="170"/>
      <c r="H2" s="170"/>
      <c r="I2" s="170"/>
      <c r="J2" s="170"/>
      <c r="K2" s="170"/>
      <c r="L2" s="170"/>
      <c r="M2" s="170"/>
      <c r="N2" s="170"/>
      <c r="O2" s="170"/>
      <c r="P2" s="170"/>
    </row>
    <row r="4" spans="1:20" x14ac:dyDescent="0.45">
      <c r="B4" s="14"/>
    </row>
    <row r="6" spans="1:20" x14ac:dyDescent="0.45">
      <c r="D6" s="23" t="s">
        <v>4</v>
      </c>
      <c r="E6" s="23" t="s">
        <v>5</v>
      </c>
      <c r="F6" s="23" t="s">
        <v>6</v>
      </c>
      <c r="G6" s="23" t="s">
        <v>7</v>
      </c>
      <c r="H6" s="23" t="s">
        <v>8</v>
      </c>
      <c r="I6" s="23" t="s">
        <v>9</v>
      </c>
      <c r="J6" s="23" t="s">
        <v>10</v>
      </c>
      <c r="K6" s="23" t="s">
        <v>11</v>
      </c>
      <c r="L6" s="23" t="s">
        <v>12</v>
      </c>
      <c r="M6" s="23" t="s">
        <v>13</v>
      </c>
      <c r="N6" s="23" t="s">
        <v>14</v>
      </c>
      <c r="O6" s="23" t="s">
        <v>15</v>
      </c>
      <c r="P6" s="23" t="s">
        <v>0</v>
      </c>
      <c r="R6" s="34" t="s">
        <v>749</v>
      </c>
    </row>
    <row r="7" spans="1:20" x14ac:dyDescent="0.45">
      <c r="D7" s="15" t="s">
        <v>109</v>
      </c>
      <c r="E7" s="15" t="s">
        <v>109</v>
      </c>
      <c r="F7" s="15" t="s">
        <v>109</v>
      </c>
      <c r="G7" s="15" t="s">
        <v>109</v>
      </c>
      <c r="H7" s="15" t="s">
        <v>109</v>
      </c>
      <c r="I7" s="15" t="s">
        <v>109</v>
      </c>
      <c r="J7" s="15" t="s">
        <v>109</v>
      </c>
      <c r="K7" s="15" t="s">
        <v>109</v>
      </c>
      <c r="L7" s="15" t="s">
        <v>109</v>
      </c>
      <c r="M7" s="15" t="s">
        <v>109</v>
      </c>
      <c r="N7" s="15" t="s">
        <v>109</v>
      </c>
      <c r="O7" s="15" t="s">
        <v>109</v>
      </c>
      <c r="P7" s="15" t="s">
        <v>109</v>
      </c>
    </row>
    <row r="8" spans="1:20" x14ac:dyDescent="0.45">
      <c r="A8" s="23">
        <v>1</v>
      </c>
      <c r="B8" s="37" t="s">
        <v>22</v>
      </c>
      <c r="C8" s="23"/>
      <c r="D8" s="1">
        <f>+'Usage WP'!F14</f>
        <v>12206</v>
      </c>
      <c r="E8" s="1">
        <f>+'Usage WP'!G14</f>
        <v>13001</v>
      </c>
      <c r="F8" s="1">
        <f>+'Usage WP'!H14</f>
        <v>10635</v>
      </c>
      <c r="G8" s="1">
        <f>+'Usage WP'!I14</f>
        <v>10716</v>
      </c>
      <c r="H8" s="1">
        <f>+'Usage WP'!J14</f>
        <v>14341</v>
      </c>
      <c r="I8" s="1">
        <f>+'Usage WP'!K14</f>
        <v>13309</v>
      </c>
      <c r="J8" s="1">
        <f>+'Usage WP'!L14</f>
        <v>13515</v>
      </c>
      <c r="K8" s="1">
        <f>+'Usage WP'!M14</f>
        <v>12389</v>
      </c>
      <c r="L8" s="1">
        <f>+'Usage WP'!N14</f>
        <v>13698</v>
      </c>
      <c r="M8" s="1">
        <f>+'Usage WP'!O14</f>
        <v>9802</v>
      </c>
      <c r="N8" s="1">
        <f>+'Usage WP'!P14</f>
        <v>11238</v>
      </c>
      <c r="O8" s="1">
        <f>+'Usage WP'!Q14</f>
        <v>11689</v>
      </c>
      <c r="P8" s="1">
        <f>+'Usage WP'!R14</f>
        <v>146539</v>
      </c>
    </row>
    <row r="9" spans="1:20" x14ac:dyDescent="0.45">
      <c r="A9" s="23">
        <f>+A8+1</f>
        <v>2</v>
      </c>
      <c r="D9" s="20"/>
      <c r="E9" s="20"/>
      <c r="F9" s="20"/>
      <c r="G9" s="20"/>
      <c r="H9" s="20"/>
      <c r="I9" s="20"/>
      <c r="J9" s="20"/>
      <c r="K9" s="20"/>
      <c r="L9" s="20"/>
      <c r="M9" s="20"/>
      <c r="N9" s="20"/>
      <c r="O9" s="20"/>
      <c r="P9" s="15"/>
      <c r="R9" s="1"/>
      <c r="T9" s="22"/>
    </row>
    <row r="10" spans="1:20" x14ac:dyDescent="0.45">
      <c r="A10" s="23">
        <f t="shared" ref="A10:A16" si="0">+A9+1</f>
        <v>3</v>
      </c>
      <c r="B10" s="37" t="s">
        <v>134</v>
      </c>
      <c r="D10" s="1">
        <f>+'Usage WP'!F29</f>
        <v>22197.599999999999</v>
      </c>
      <c r="E10" s="1">
        <f>+'Usage WP'!G29</f>
        <v>20979.599999999999</v>
      </c>
      <c r="F10" s="1">
        <f>+'Usage WP'!H29</f>
        <v>20852.500000000004</v>
      </c>
      <c r="G10" s="1">
        <f>+'Usage WP'!I29</f>
        <v>20765.900000000001</v>
      </c>
      <c r="H10" s="1">
        <f>+'Usage WP'!J29</f>
        <v>21677.899999999998</v>
      </c>
      <c r="I10" s="1">
        <f>+'Usage WP'!K29</f>
        <v>22039.099999999995</v>
      </c>
      <c r="J10" s="1">
        <f>+'Usage WP'!L29</f>
        <v>20886.5</v>
      </c>
      <c r="K10" s="1">
        <f>+'Usage WP'!M29</f>
        <v>21105.1</v>
      </c>
      <c r="L10" s="1">
        <f>+'Usage WP'!N29</f>
        <v>19681.900000000005</v>
      </c>
      <c r="M10" s="1">
        <f>+'Usage WP'!O29</f>
        <v>18059.400000000001</v>
      </c>
      <c r="N10" s="1">
        <f>+'Usage WP'!P29</f>
        <v>20006.900000000001</v>
      </c>
      <c r="O10" s="1">
        <f>+'Usage WP'!Q29</f>
        <v>21383.000000000004</v>
      </c>
      <c r="P10" s="1">
        <f>+'Usage WP'!R29</f>
        <v>249635.39999999997</v>
      </c>
      <c r="R10" s="1"/>
      <c r="T10" s="22"/>
    </row>
    <row r="11" spans="1:20" x14ac:dyDescent="0.45">
      <c r="A11" s="23">
        <f t="shared" si="0"/>
        <v>4</v>
      </c>
      <c r="B11" s="113"/>
      <c r="C11" s="23"/>
      <c r="D11" s="1"/>
      <c r="E11" s="1"/>
      <c r="F11" s="1"/>
      <c r="G11" s="1"/>
      <c r="H11" s="1"/>
      <c r="I11" s="1"/>
      <c r="J11" s="1"/>
      <c r="K11" s="1"/>
      <c r="L11" s="1"/>
      <c r="M11" s="1"/>
      <c r="N11" s="1"/>
      <c r="O11" s="1"/>
      <c r="P11" s="1"/>
      <c r="R11" s="1"/>
      <c r="T11" s="22"/>
    </row>
    <row r="12" spans="1:20" x14ac:dyDescent="0.45">
      <c r="A12" s="23">
        <f t="shared" si="0"/>
        <v>5</v>
      </c>
      <c r="B12" s="37" t="s">
        <v>111</v>
      </c>
      <c r="C12" s="23"/>
      <c r="D12" s="1">
        <f>+'Usage WP'!F54</f>
        <v>198246.5</v>
      </c>
      <c r="E12" s="1">
        <f>+'Usage WP'!G54</f>
        <v>155911.4</v>
      </c>
      <c r="F12" s="1">
        <f>+'Usage WP'!H54</f>
        <v>150084.20000000001</v>
      </c>
      <c r="G12" s="1">
        <f>+'Usage WP'!I54</f>
        <v>171094.59999999998</v>
      </c>
      <c r="H12" s="1">
        <f>+'Usage WP'!J54</f>
        <v>277296.59999999998</v>
      </c>
      <c r="I12" s="1">
        <f>+'Usage WP'!K54</f>
        <v>270147.10000000003</v>
      </c>
      <c r="J12" s="1">
        <f>+'Usage WP'!L54</f>
        <v>306726.09999999998</v>
      </c>
      <c r="K12" s="1">
        <f>+'Usage WP'!M54</f>
        <v>286305.2</v>
      </c>
      <c r="L12" s="1">
        <f>+'Usage WP'!N54</f>
        <v>216475.3</v>
      </c>
      <c r="M12" s="1">
        <f>+'Usage WP'!O54</f>
        <v>158403.70000000001</v>
      </c>
      <c r="N12" s="1">
        <f>+'Usage WP'!P54</f>
        <v>154351.29999999999</v>
      </c>
      <c r="O12" s="1">
        <f>+'Usage WP'!Q54</f>
        <v>160722.1</v>
      </c>
      <c r="P12" s="1">
        <f>+'Usage WP'!R54</f>
        <v>2505764.1</v>
      </c>
      <c r="R12" s="1"/>
      <c r="T12" s="22"/>
    </row>
    <row r="13" spans="1:20" x14ac:dyDescent="0.45">
      <c r="A13" s="23">
        <f t="shared" si="0"/>
        <v>6</v>
      </c>
      <c r="R13" s="1"/>
      <c r="T13" s="13"/>
    </row>
    <row r="14" spans="1:20" x14ac:dyDescent="0.45">
      <c r="A14" s="23">
        <f t="shared" si="0"/>
        <v>7</v>
      </c>
      <c r="B14" s="37" t="s">
        <v>753</v>
      </c>
      <c r="C14" s="112"/>
      <c r="D14" s="1">
        <f>+'Usage WP'!F61</f>
        <v>0</v>
      </c>
      <c r="E14" s="1">
        <f>+'Usage WP'!G61</f>
        <v>0</v>
      </c>
      <c r="F14" s="1">
        <f>+'Usage WP'!H61</f>
        <v>0</v>
      </c>
      <c r="G14" s="1">
        <f>+'Usage WP'!I61</f>
        <v>0</v>
      </c>
      <c r="H14" s="1">
        <f>+'Usage WP'!J61</f>
        <v>0</v>
      </c>
      <c r="I14" s="1">
        <f>+'Usage WP'!K61</f>
        <v>0</v>
      </c>
      <c r="J14" s="1">
        <f>+'Usage WP'!L61</f>
        <v>0</v>
      </c>
      <c r="K14" s="1">
        <f>+'Usage WP'!M61</f>
        <v>0</v>
      </c>
      <c r="L14" s="1">
        <f>+'Usage WP'!N61</f>
        <v>0</v>
      </c>
      <c r="M14" s="1">
        <f>+'Usage WP'!O61</f>
        <v>0</v>
      </c>
      <c r="N14" s="1">
        <f>+'Usage WP'!P61</f>
        <v>0</v>
      </c>
      <c r="O14" s="1">
        <f>+'Usage WP'!Q61</f>
        <v>0</v>
      </c>
      <c r="P14" s="1">
        <f>+'Usage WP'!R61</f>
        <v>0</v>
      </c>
    </row>
    <row r="15" spans="1:20" x14ac:dyDescent="0.45">
      <c r="A15" s="112">
        <f t="shared" si="0"/>
        <v>8</v>
      </c>
    </row>
    <row r="16" spans="1:20" x14ac:dyDescent="0.45">
      <c r="A16" s="112">
        <f t="shared" si="0"/>
        <v>9</v>
      </c>
      <c r="B16" s="37" t="s">
        <v>781</v>
      </c>
      <c r="D16" s="1">
        <f>+'Usage WP'!F63</f>
        <v>232650.1</v>
      </c>
      <c r="E16" s="1">
        <f>+'Usage WP'!G63</f>
        <v>189892</v>
      </c>
      <c r="F16" s="1">
        <f>+'Usage WP'!H63</f>
        <v>181571.7</v>
      </c>
      <c r="G16" s="1">
        <f>+'Usage WP'!I63</f>
        <v>202576.49999999997</v>
      </c>
      <c r="H16" s="1">
        <f>+'Usage WP'!J63</f>
        <v>313315.5</v>
      </c>
      <c r="I16" s="1">
        <f>+'Usage WP'!K63</f>
        <v>305495.2</v>
      </c>
      <c r="J16" s="1">
        <f>+'Usage WP'!L63</f>
        <v>341127.6</v>
      </c>
      <c r="K16" s="1">
        <f>+'Usage WP'!M63</f>
        <v>319799.3</v>
      </c>
      <c r="L16" s="1">
        <f>+'Usage WP'!N63</f>
        <v>249855.2</v>
      </c>
      <c r="M16" s="1">
        <f>+'Usage WP'!O63</f>
        <v>186265.1</v>
      </c>
      <c r="N16" s="1">
        <f>+'Usage WP'!P63</f>
        <v>185596.19999999998</v>
      </c>
      <c r="O16" s="1">
        <f>+'Usage WP'!Q63</f>
        <v>193794.1</v>
      </c>
      <c r="P16" s="1">
        <f>+'Usage WP'!R63</f>
        <v>2901938.5000000005</v>
      </c>
    </row>
    <row r="17" spans="1:20" x14ac:dyDescent="0.45">
      <c r="A17" s="23"/>
    </row>
    <row r="18" spans="1:20" x14ac:dyDescent="0.45">
      <c r="A18" s="23"/>
      <c r="B18" s="21" t="s">
        <v>783</v>
      </c>
    </row>
    <row r="19" spans="1:20" x14ac:dyDescent="0.45">
      <c r="A19" s="23"/>
    </row>
    <row r="20" spans="1:20" x14ac:dyDescent="0.45">
      <c r="A20" s="23"/>
      <c r="R20" s="1"/>
      <c r="T20" s="22"/>
    </row>
    <row r="21" spans="1:20" x14ac:dyDescent="0.45">
      <c r="A21" s="23"/>
    </row>
    <row r="22" spans="1:20" x14ac:dyDescent="0.45">
      <c r="A22" s="23"/>
      <c r="D22" s="1"/>
      <c r="E22" s="1"/>
      <c r="F22" s="1"/>
      <c r="G22" s="1"/>
      <c r="H22" s="1"/>
      <c r="I22" s="1"/>
      <c r="J22" s="1"/>
      <c r="K22" s="1"/>
      <c r="L22" s="1"/>
      <c r="M22" s="1"/>
      <c r="N22" s="1"/>
      <c r="O22" s="1"/>
      <c r="P22" s="22"/>
    </row>
    <row r="23" spans="1:20" x14ac:dyDescent="0.45">
      <c r="A23" s="23"/>
    </row>
    <row r="24" spans="1:20" x14ac:dyDescent="0.45">
      <c r="A24" s="23"/>
    </row>
    <row r="25" spans="1:20" x14ac:dyDescent="0.45">
      <c r="A25" s="23"/>
    </row>
    <row r="26" spans="1:20" x14ac:dyDescent="0.45">
      <c r="A26" s="23"/>
    </row>
    <row r="27" spans="1:20" x14ac:dyDescent="0.45">
      <c r="A27" s="23"/>
      <c r="R27" s="1"/>
    </row>
    <row r="28" spans="1:20" x14ac:dyDescent="0.45">
      <c r="A28" s="23"/>
    </row>
    <row r="29" spans="1:20" x14ac:dyDescent="0.45">
      <c r="A29" s="23"/>
    </row>
    <row r="30" spans="1:20" x14ac:dyDescent="0.45">
      <c r="A30" s="23"/>
    </row>
    <row r="31" spans="1:20" x14ac:dyDescent="0.45">
      <c r="A31" s="23"/>
    </row>
    <row r="32" spans="1:20" x14ac:dyDescent="0.45">
      <c r="A32" s="23"/>
      <c r="R32" s="1"/>
      <c r="T32" s="13"/>
    </row>
    <row r="33" spans="1:20" x14ac:dyDescent="0.45">
      <c r="A33" s="23"/>
      <c r="T33" s="13"/>
    </row>
    <row r="34" spans="1:20" x14ac:dyDescent="0.45">
      <c r="A34" s="23"/>
    </row>
    <row r="35" spans="1:20" x14ac:dyDescent="0.45">
      <c r="A35" s="23"/>
      <c r="R35" s="1"/>
      <c r="T35" s="22"/>
    </row>
    <row r="36" spans="1:20" x14ac:dyDescent="0.45">
      <c r="A36" s="23"/>
      <c r="R36" s="1"/>
      <c r="T36" s="22"/>
    </row>
    <row r="37" spans="1:20" x14ac:dyDescent="0.45">
      <c r="A37" s="23"/>
      <c r="R37" s="1"/>
      <c r="T37" s="22"/>
    </row>
    <row r="38" spans="1:20" x14ac:dyDescent="0.45">
      <c r="A38" s="23"/>
      <c r="R38" s="1"/>
      <c r="T38" s="22"/>
    </row>
    <row r="39" spans="1:20" x14ac:dyDescent="0.45">
      <c r="A39" s="23"/>
      <c r="R39" s="1"/>
      <c r="T39" s="22"/>
    </row>
    <row r="40" spans="1:20" x14ac:dyDescent="0.45">
      <c r="A40" s="23"/>
      <c r="R40" s="1"/>
      <c r="T40" s="22"/>
    </row>
    <row r="41" spans="1:20" x14ac:dyDescent="0.45">
      <c r="A41" s="23"/>
      <c r="R41" s="1"/>
      <c r="T41" s="22"/>
    </row>
    <row r="42" spans="1:20" x14ac:dyDescent="0.45">
      <c r="A42" s="23"/>
      <c r="R42" s="1"/>
      <c r="T42" s="22"/>
    </row>
    <row r="43" spans="1:20" x14ac:dyDescent="0.45">
      <c r="A43" s="23"/>
      <c r="R43" s="1"/>
      <c r="T43" s="22"/>
    </row>
    <row r="44" spans="1:20" x14ac:dyDescent="0.45">
      <c r="A44" s="23"/>
      <c r="R44" s="1"/>
      <c r="T44" s="22"/>
    </row>
    <row r="45" spans="1:20" x14ac:dyDescent="0.45">
      <c r="A45" s="23"/>
      <c r="Q45" s="90"/>
      <c r="R45" s="1"/>
      <c r="T45" s="22"/>
    </row>
    <row r="46" spans="1:20" x14ac:dyDescent="0.45">
      <c r="A46" s="23"/>
      <c r="R46" s="1"/>
      <c r="T46" s="22"/>
    </row>
    <row r="47" spans="1:20" x14ac:dyDescent="0.45">
      <c r="A47" s="23"/>
      <c r="R47" s="1"/>
      <c r="T47" s="22"/>
    </row>
    <row r="48" spans="1:20" x14ac:dyDescent="0.45">
      <c r="A48" s="23"/>
      <c r="Q48" s="90"/>
      <c r="R48" s="1"/>
      <c r="T48" s="22"/>
    </row>
    <row r="49" spans="1:20" x14ac:dyDescent="0.45">
      <c r="A49" s="23"/>
      <c r="Q49" s="90"/>
      <c r="R49" s="1"/>
      <c r="T49" s="22"/>
    </row>
    <row r="50" spans="1:20" x14ac:dyDescent="0.45">
      <c r="A50" s="23"/>
      <c r="Q50" s="90"/>
      <c r="R50" s="1"/>
      <c r="T50" s="22"/>
    </row>
    <row r="51" spans="1:20" x14ac:dyDescent="0.45">
      <c r="A51" s="23"/>
      <c r="R51" s="1"/>
      <c r="T51" s="22"/>
    </row>
    <row r="52" spans="1:20" x14ac:dyDescent="0.45">
      <c r="A52" s="23"/>
      <c r="R52" s="1"/>
      <c r="T52" s="22"/>
    </row>
    <row r="53" spans="1:20" x14ac:dyDescent="0.45">
      <c r="A53" s="23"/>
      <c r="Q53" s="111"/>
      <c r="R53" s="1"/>
      <c r="T53" s="22"/>
    </row>
    <row r="54" spans="1:20" x14ac:dyDescent="0.45">
      <c r="A54" s="23"/>
      <c r="R54" s="1"/>
      <c r="T54" s="22"/>
    </row>
    <row r="55" spans="1:20" x14ac:dyDescent="0.45">
      <c r="A55" s="23"/>
      <c r="R55" s="1"/>
      <c r="T55" s="22"/>
    </row>
    <row r="56" spans="1:20" x14ac:dyDescent="0.45">
      <c r="A56" s="23"/>
      <c r="R56" s="1"/>
      <c r="T56" s="22"/>
    </row>
    <row r="57" spans="1:20" x14ac:dyDescent="0.45">
      <c r="A57" s="23"/>
      <c r="R57" s="1"/>
      <c r="T57" s="22"/>
    </row>
    <row r="58" spans="1:20" x14ac:dyDescent="0.45">
      <c r="A58" s="23"/>
      <c r="R58" s="1"/>
      <c r="T58" s="22"/>
    </row>
    <row r="59" spans="1:20" x14ac:dyDescent="0.45">
      <c r="A59" s="23"/>
      <c r="R59" s="1"/>
      <c r="T59" s="13"/>
    </row>
    <row r="60" spans="1:20" x14ac:dyDescent="0.45">
      <c r="A60" s="23"/>
      <c r="T60" s="22"/>
    </row>
    <row r="61" spans="1:20" x14ac:dyDescent="0.45">
      <c r="A61" s="23"/>
      <c r="R61" s="1"/>
      <c r="T61" s="22"/>
    </row>
    <row r="62" spans="1:20" x14ac:dyDescent="0.45">
      <c r="T62" s="22"/>
    </row>
    <row r="63" spans="1:20" x14ac:dyDescent="0.45">
      <c r="T63" s="22"/>
    </row>
  </sheetData>
  <mergeCells count="2">
    <mergeCell ref="B1:P1"/>
    <mergeCell ref="B2:P2"/>
  </mergeCells>
  <pageMargins left="0.7" right="0.7" top="0.75" bottom="0.75" header="0.3" footer="0.3"/>
  <pageSetup scale="60" orientation="landscape" r:id="rId1"/>
  <headerFooter>
    <oddHeader>&amp;RSchedule E-1.0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3"/>
  <sheetViews>
    <sheetView zoomScaleNormal="100" workbookViewId="0">
      <selection activeCell="B18" sqref="B18"/>
    </sheetView>
  </sheetViews>
  <sheetFormatPr defaultColWidth="9.1328125" defaultRowHeight="14.25" x14ac:dyDescent="0.45"/>
  <cols>
    <col min="1" max="1" width="3.86328125" style="43" customWidth="1"/>
    <col min="2" max="2" width="15.73046875" style="43" customWidth="1"/>
    <col min="3" max="3" width="16.86328125" style="43" customWidth="1"/>
    <col min="4" max="4" width="4.265625" style="43" customWidth="1"/>
    <col min="5" max="5" width="16.86328125" style="43" customWidth="1"/>
    <col min="6" max="6" width="4.265625" style="43" customWidth="1"/>
    <col min="7" max="7" width="27.3984375" style="43" bestFit="1" customWidth="1"/>
    <col min="8" max="8" width="9.1328125" style="43"/>
    <col min="9" max="9" width="12.86328125" style="43" bestFit="1" customWidth="1"/>
    <col min="10" max="10" width="11.3984375" style="43" bestFit="1" customWidth="1"/>
    <col min="11" max="11" width="11.265625" style="43" bestFit="1" customWidth="1"/>
    <col min="12" max="12" width="12.86328125" style="43" bestFit="1" customWidth="1"/>
    <col min="13" max="16384" width="9.1328125" style="43"/>
  </cols>
  <sheetData>
    <row r="1" spans="1:9" x14ac:dyDescent="0.45">
      <c r="A1" s="176" t="s">
        <v>23</v>
      </c>
      <c r="B1" s="176"/>
      <c r="C1" s="176"/>
      <c r="D1" s="176"/>
      <c r="E1" s="176"/>
      <c r="F1" s="176"/>
      <c r="G1" s="176"/>
    </row>
    <row r="2" spans="1:9" x14ac:dyDescent="0.45">
      <c r="A2" s="176" t="s">
        <v>185</v>
      </c>
      <c r="B2" s="176"/>
      <c r="C2" s="176"/>
      <c r="D2" s="176"/>
      <c r="E2" s="176"/>
      <c r="F2" s="176"/>
      <c r="G2" s="176"/>
    </row>
    <row r="3" spans="1:9" x14ac:dyDescent="0.45">
      <c r="A3" s="176" t="s">
        <v>862</v>
      </c>
      <c r="B3" s="176"/>
      <c r="C3" s="176"/>
      <c r="D3" s="176"/>
      <c r="E3" s="176"/>
      <c r="F3" s="176"/>
      <c r="G3" s="176"/>
    </row>
    <row r="4" spans="1:9" x14ac:dyDescent="0.45">
      <c r="B4" s="44" t="s">
        <v>241</v>
      </c>
    </row>
    <row r="5" spans="1:9" x14ac:dyDescent="0.45">
      <c r="C5" s="42" t="s">
        <v>509</v>
      </c>
      <c r="D5" s="42"/>
      <c r="E5" s="42" t="s">
        <v>510</v>
      </c>
      <c r="F5" s="42"/>
      <c r="G5" s="42" t="s">
        <v>511</v>
      </c>
    </row>
    <row r="7" spans="1:9" x14ac:dyDescent="0.45">
      <c r="C7" s="42" t="s">
        <v>192</v>
      </c>
      <c r="D7" s="42"/>
      <c r="E7" s="42" t="s">
        <v>193</v>
      </c>
    </row>
    <row r="8" spans="1:9" x14ac:dyDescent="0.45">
      <c r="C8" s="50" t="s">
        <v>186</v>
      </c>
      <c r="D8" s="50"/>
      <c r="E8" s="50" t="s">
        <v>187</v>
      </c>
      <c r="F8" s="50"/>
      <c r="G8" s="50" t="s">
        <v>0</v>
      </c>
    </row>
    <row r="10" spans="1:9" x14ac:dyDescent="0.45">
      <c r="A10" s="42">
        <v>1</v>
      </c>
      <c r="B10" s="51" t="s">
        <v>22</v>
      </c>
      <c r="C10" s="150">
        <f>+C21</f>
        <v>6931423.4000000004</v>
      </c>
      <c r="D10" s="150"/>
      <c r="E10" s="150">
        <f>+E21</f>
        <v>0</v>
      </c>
      <c r="F10" s="45"/>
      <c r="G10" s="45">
        <f t="shared" ref="G10:G14" si="0">SUM(C10:F10)</f>
        <v>6931423.4000000004</v>
      </c>
      <c r="I10" s="34" t="s">
        <v>750</v>
      </c>
    </row>
    <row r="11" spans="1:9" x14ac:dyDescent="0.45">
      <c r="A11" s="42">
        <f>+A10+1</f>
        <v>2</v>
      </c>
      <c r="B11" s="52" t="s">
        <v>19</v>
      </c>
      <c r="C11" s="150">
        <f>+C27</f>
        <v>18947778.77</v>
      </c>
      <c r="D11" s="150"/>
      <c r="E11" s="150">
        <f>+E27</f>
        <v>7951</v>
      </c>
      <c r="F11" s="45"/>
      <c r="G11" s="45">
        <f>SUM(C11:F11)</f>
        <v>18955729.77</v>
      </c>
      <c r="I11" s="34"/>
    </row>
    <row r="12" spans="1:9" x14ac:dyDescent="0.45">
      <c r="A12" s="42">
        <f t="shared" ref="A12:A45" si="1">+A11+1</f>
        <v>3</v>
      </c>
      <c r="B12" s="53" t="s">
        <v>36</v>
      </c>
      <c r="C12" s="150">
        <f>+C33</f>
        <v>29823635.979999997</v>
      </c>
      <c r="D12" s="150"/>
      <c r="E12" s="150">
        <f>+E33</f>
        <v>0</v>
      </c>
      <c r="F12" s="45"/>
      <c r="G12" s="45">
        <f>SUM(C12:F12)</f>
        <v>29823635.979999997</v>
      </c>
    </row>
    <row r="13" spans="1:9" x14ac:dyDescent="0.45">
      <c r="A13" s="42">
        <f t="shared" si="1"/>
        <v>4</v>
      </c>
      <c r="B13" s="53" t="s">
        <v>753</v>
      </c>
      <c r="C13" s="150">
        <f>+C39</f>
        <v>0</v>
      </c>
      <c r="D13" s="150"/>
      <c r="E13" s="150">
        <f>+E39</f>
        <v>0</v>
      </c>
      <c r="F13" s="45"/>
      <c r="G13" s="45">
        <f>SUM(C13:F13)</f>
        <v>0</v>
      </c>
    </row>
    <row r="14" spans="1:9" x14ac:dyDescent="0.45">
      <c r="A14" s="42">
        <f t="shared" si="1"/>
        <v>5</v>
      </c>
      <c r="B14" s="51" t="s">
        <v>98</v>
      </c>
      <c r="C14" s="150">
        <f>+C45</f>
        <v>28250293.169999998</v>
      </c>
      <c r="D14" s="150"/>
      <c r="E14" s="150">
        <f>+E45</f>
        <v>141773.54999999999</v>
      </c>
      <c r="F14" s="45"/>
      <c r="G14" s="45">
        <f t="shared" si="0"/>
        <v>28392066.719999999</v>
      </c>
      <c r="I14" s="54"/>
    </row>
    <row r="15" spans="1:9" ht="14.65" thickBot="1" x14ac:dyDescent="0.5">
      <c r="A15" s="42">
        <f t="shared" si="1"/>
        <v>6</v>
      </c>
      <c r="B15" s="52" t="s">
        <v>168</v>
      </c>
      <c r="C15" s="98">
        <f>SUM(C10:C14)</f>
        <v>83953131.319999993</v>
      </c>
      <c r="D15" s="52"/>
      <c r="E15" s="98">
        <f>SUM(E10:E14)</f>
        <v>149724.54999999999</v>
      </c>
      <c r="F15" s="52"/>
      <c r="G15" s="98">
        <f>SUM(G10:G14)</f>
        <v>84102855.870000005</v>
      </c>
    </row>
    <row r="16" spans="1:9" ht="14.65" thickTop="1" x14ac:dyDescent="0.45">
      <c r="A16" s="42">
        <f t="shared" si="1"/>
        <v>7</v>
      </c>
      <c r="B16" s="52"/>
      <c r="C16" s="52"/>
      <c r="D16" s="52"/>
      <c r="F16" s="52"/>
      <c r="G16" s="45"/>
    </row>
    <row r="17" spans="1:7" x14ac:dyDescent="0.45">
      <c r="A17" s="42">
        <f t="shared" si="1"/>
        <v>8</v>
      </c>
      <c r="B17" s="52"/>
      <c r="C17" s="46" t="s">
        <v>22</v>
      </c>
      <c r="D17" s="45"/>
      <c r="E17" s="46" t="s">
        <v>22</v>
      </c>
      <c r="F17" s="45"/>
      <c r="G17" s="46" t="s">
        <v>22</v>
      </c>
    </row>
    <row r="18" spans="1:7" x14ac:dyDescent="0.45">
      <c r="A18" s="42">
        <f t="shared" si="1"/>
        <v>9</v>
      </c>
      <c r="B18" s="52" t="s">
        <v>188</v>
      </c>
      <c r="C18" s="156">
        <v>7079363.9400000004</v>
      </c>
      <c r="D18" s="155"/>
      <c r="E18" s="156">
        <v>0</v>
      </c>
      <c r="F18" s="45"/>
      <c r="G18" s="45">
        <f>SUM(C18:F18)</f>
        <v>7079363.9400000004</v>
      </c>
    </row>
    <row r="19" spans="1:7" x14ac:dyDescent="0.45">
      <c r="A19" s="42">
        <f t="shared" si="1"/>
        <v>10</v>
      </c>
      <c r="B19" s="52" t="s">
        <v>189</v>
      </c>
      <c r="C19" s="156">
        <v>0</v>
      </c>
      <c r="D19" s="155"/>
      <c r="E19" s="156">
        <v>0</v>
      </c>
      <c r="F19" s="45"/>
      <c r="G19" s="45">
        <f>SUM(C19:F19)</f>
        <v>0</v>
      </c>
    </row>
    <row r="20" spans="1:7" x14ac:dyDescent="0.45">
      <c r="A20" s="42">
        <f t="shared" si="1"/>
        <v>11</v>
      </c>
      <c r="B20" s="52" t="s">
        <v>190</v>
      </c>
      <c r="C20" s="156">
        <v>147940.54</v>
      </c>
      <c r="D20" s="155"/>
      <c r="E20" s="156">
        <v>0</v>
      </c>
      <c r="F20" s="45"/>
      <c r="G20" s="45">
        <f>SUM(C20:F20)</f>
        <v>147940.54</v>
      </c>
    </row>
    <row r="21" spans="1:7" ht="14.65" thickBot="1" x14ac:dyDescent="0.5">
      <c r="A21" s="42">
        <f t="shared" si="1"/>
        <v>12</v>
      </c>
      <c r="B21" s="52" t="s">
        <v>191</v>
      </c>
      <c r="C21" s="47">
        <f>+C18+C19-C20</f>
        <v>6931423.4000000004</v>
      </c>
      <c r="D21" s="45"/>
      <c r="E21" s="47">
        <f>+E18+E19-E20</f>
        <v>0</v>
      </c>
      <c r="F21" s="45"/>
      <c r="G21" s="47">
        <f>+G18+G19-G20</f>
        <v>6931423.4000000004</v>
      </c>
    </row>
    <row r="22" spans="1:7" ht="14.65" thickTop="1" x14ac:dyDescent="0.45">
      <c r="A22" s="42">
        <f t="shared" si="1"/>
        <v>13</v>
      </c>
      <c r="B22" s="52"/>
      <c r="C22" s="45"/>
      <c r="D22" s="45"/>
      <c r="E22" s="45"/>
      <c r="F22" s="45"/>
      <c r="G22" s="45"/>
    </row>
    <row r="23" spans="1:7" x14ac:dyDescent="0.45">
      <c r="A23" s="42">
        <f t="shared" si="1"/>
        <v>14</v>
      </c>
      <c r="B23" s="52"/>
      <c r="C23" s="55" t="s">
        <v>19</v>
      </c>
      <c r="D23" s="45"/>
      <c r="E23" s="55" t="s">
        <v>19</v>
      </c>
      <c r="F23" s="45"/>
      <c r="G23" s="55" t="s">
        <v>19</v>
      </c>
    </row>
    <row r="24" spans="1:7" x14ac:dyDescent="0.45">
      <c r="A24" s="42">
        <f t="shared" si="1"/>
        <v>15</v>
      </c>
      <c r="B24" s="52" t="s">
        <v>188</v>
      </c>
      <c r="C24" s="156">
        <v>20110087.120000001</v>
      </c>
      <c r="D24" s="155"/>
      <c r="E24" s="156">
        <v>0</v>
      </c>
      <c r="F24" s="45"/>
      <c r="G24" s="45">
        <f>SUM(C24:F24)</f>
        <v>20110087.120000001</v>
      </c>
    </row>
    <row r="25" spans="1:7" x14ac:dyDescent="0.45">
      <c r="A25" s="42">
        <f t="shared" si="1"/>
        <v>16</v>
      </c>
      <c r="B25" s="52" t="s">
        <v>189</v>
      </c>
      <c r="C25" s="156">
        <v>0</v>
      </c>
      <c r="D25" s="155"/>
      <c r="E25" s="156">
        <v>7951</v>
      </c>
      <c r="F25" s="45"/>
      <c r="G25" s="45">
        <f>SUM(C25:F25)</f>
        <v>7951</v>
      </c>
    </row>
    <row r="26" spans="1:7" x14ac:dyDescent="0.45">
      <c r="A26" s="42">
        <f t="shared" si="1"/>
        <v>17</v>
      </c>
      <c r="B26" s="52" t="s">
        <v>190</v>
      </c>
      <c r="C26" s="156">
        <v>1162308.3500000001</v>
      </c>
      <c r="D26" s="155"/>
      <c r="E26" s="156"/>
      <c r="F26" s="45"/>
      <c r="G26" s="45">
        <f>SUM(C26:F26)</f>
        <v>1162308.3500000001</v>
      </c>
    </row>
    <row r="27" spans="1:7" ht="14.65" thickBot="1" x14ac:dyDescent="0.5">
      <c r="A27" s="42">
        <f t="shared" si="1"/>
        <v>18</v>
      </c>
      <c r="B27" s="52" t="s">
        <v>191</v>
      </c>
      <c r="C27" s="47">
        <f>+C24+C25-C26</f>
        <v>18947778.77</v>
      </c>
      <c r="D27" s="45"/>
      <c r="E27" s="47">
        <f>+E24+E25-E26</f>
        <v>7951</v>
      </c>
      <c r="F27" s="45"/>
      <c r="G27" s="47">
        <f>+G24+G25-G26</f>
        <v>18955729.77</v>
      </c>
    </row>
    <row r="28" spans="1:7" ht="14.65" thickTop="1" x14ac:dyDescent="0.45">
      <c r="A28" s="42">
        <f t="shared" si="1"/>
        <v>19</v>
      </c>
      <c r="B28" s="52"/>
      <c r="C28" s="45"/>
      <c r="D28" s="45"/>
      <c r="E28" s="45"/>
      <c r="F28" s="45"/>
      <c r="G28" s="45"/>
    </row>
    <row r="29" spans="1:7" x14ac:dyDescent="0.45">
      <c r="A29" s="42">
        <f t="shared" si="1"/>
        <v>20</v>
      </c>
      <c r="B29" s="52"/>
      <c r="C29" s="48" t="s">
        <v>36</v>
      </c>
      <c r="D29" s="45"/>
      <c r="E29" s="48" t="s">
        <v>36</v>
      </c>
      <c r="F29" s="45"/>
      <c r="G29" s="48" t="s">
        <v>36</v>
      </c>
    </row>
    <row r="30" spans="1:7" x14ac:dyDescent="0.45">
      <c r="A30" s="42">
        <f t="shared" si="1"/>
        <v>21</v>
      </c>
      <c r="B30" s="52" t="s">
        <v>188</v>
      </c>
      <c r="C30" s="156">
        <v>26153518.309999999</v>
      </c>
      <c r="D30" s="155"/>
      <c r="E30" s="156">
        <v>4951082.6500000004</v>
      </c>
      <c r="F30" s="45"/>
      <c r="G30" s="45">
        <f>SUM(C30:F30)</f>
        <v>31104600.960000001</v>
      </c>
    </row>
    <row r="31" spans="1:7" x14ac:dyDescent="0.45">
      <c r="A31" s="42">
        <f t="shared" si="1"/>
        <v>22</v>
      </c>
      <c r="B31" s="52" t="s">
        <v>189</v>
      </c>
      <c r="C31" s="156">
        <v>4368433.1100000003</v>
      </c>
      <c r="D31" s="155"/>
      <c r="E31" s="156">
        <v>-4951082.6500000004</v>
      </c>
      <c r="F31" s="45"/>
      <c r="G31" s="45">
        <f>SUM(C31:F31)</f>
        <v>-582649.54</v>
      </c>
    </row>
    <row r="32" spans="1:7" x14ac:dyDescent="0.45">
      <c r="A32" s="42">
        <f t="shared" si="1"/>
        <v>23</v>
      </c>
      <c r="B32" s="52" t="s">
        <v>190</v>
      </c>
      <c r="C32" s="156">
        <v>698315.44</v>
      </c>
      <c r="D32" s="155"/>
      <c r="E32" s="156">
        <v>0</v>
      </c>
      <c r="F32" s="45"/>
      <c r="G32" s="45">
        <f>SUM(C32:F32)</f>
        <v>698315.44</v>
      </c>
    </row>
    <row r="33" spans="1:7" ht="14.65" thickBot="1" x14ac:dyDescent="0.5">
      <c r="A33" s="42">
        <f t="shared" si="1"/>
        <v>24</v>
      </c>
      <c r="B33" s="52" t="s">
        <v>191</v>
      </c>
      <c r="C33" s="47">
        <f>+C30+C31-C32</f>
        <v>29823635.979999997</v>
      </c>
      <c r="D33" s="45"/>
      <c r="E33" s="47">
        <f>+E30+E31-E32</f>
        <v>0</v>
      </c>
      <c r="F33" s="45"/>
      <c r="G33" s="47">
        <f>+G30+G31-G32</f>
        <v>29823635.98</v>
      </c>
    </row>
    <row r="34" spans="1:7" ht="14.65" thickTop="1" x14ac:dyDescent="0.45">
      <c r="A34" s="42">
        <f t="shared" si="1"/>
        <v>25</v>
      </c>
      <c r="B34" s="52"/>
      <c r="C34" s="45"/>
      <c r="D34" s="45"/>
      <c r="E34" s="45"/>
      <c r="F34" s="45"/>
      <c r="G34" s="45"/>
    </row>
    <row r="35" spans="1:7" x14ac:dyDescent="0.45">
      <c r="A35" s="42">
        <f t="shared" si="1"/>
        <v>26</v>
      </c>
      <c r="B35" s="52"/>
      <c r="C35" s="107" t="s">
        <v>753</v>
      </c>
      <c r="D35" s="45"/>
      <c r="E35" s="107" t="s">
        <v>753</v>
      </c>
      <c r="F35" s="45"/>
      <c r="G35" s="107" t="s">
        <v>753</v>
      </c>
    </row>
    <row r="36" spans="1:7" x14ac:dyDescent="0.45">
      <c r="A36" s="42">
        <f t="shared" si="1"/>
        <v>27</v>
      </c>
      <c r="B36" s="52" t="s">
        <v>188</v>
      </c>
      <c r="C36" s="149">
        <v>0</v>
      </c>
      <c r="D36" s="45"/>
      <c r="E36" s="149">
        <v>0</v>
      </c>
      <c r="F36" s="45"/>
      <c r="G36" s="45">
        <f>SUM(C36:F36)</f>
        <v>0</v>
      </c>
    </row>
    <row r="37" spans="1:7" x14ac:dyDescent="0.45">
      <c r="A37" s="42">
        <f t="shared" si="1"/>
        <v>28</v>
      </c>
      <c r="B37" s="52" t="s">
        <v>189</v>
      </c>
      <c r="C37" s="149">
        <v>0</v>
      </c>
      <c r="D37" s="45"/>
      <c r="E37" s="149">
        <v>0</v>
      </c>
      <c r="F37" s="45"/>
      <c r="G37" s="45">
        <f>SUM(C37:F37)</f>
        <v>0</v>
      </c>
    </row>
    <row r="38" spans="1:7" x14ac:dyDescent="0.45">
      <c r="A38" s="42">
        <f t="shared" si="1"/>
        <v>29</v>
      </c>
      <c r="B38" s="52" t="s">
        <v>190</v>
      </c>
      <c r="C38" s="149">
        <v>0</v>
      </c>
      <c r="D38" s="45"/>
      <c r="E38" s="149">
        <v>0</v>
      </c>
      <c r="F38" s="45"/>
      <c r="G38" s="45">
        <f>SUM(C38:F38)</f>
        <v>0</v>
      </c>
    </row>
    <row r="39" spans="1:7" ht="14.65" thickBot="1" x14ac:dyDescent="0.5">
      <c r="A39" s="42">
        <f t="shared" si="1"/>
        <v>30</v>
      </c>
      <c r="B39" s="52" t="s">
        <v>191</v>
      </c>
      <c r="C39" s="47">
        <f>+C36+C37-C38</f>
        <v>0</v>
      </c>
      <c r="D39" s="45"/>
      <c r="E39" s="47">
        <f>+E36+E37-E38</f>
        <v>0</v>
      </c>
      <c r="F39" s="45"/>
      <c r="G39" s="47">
        <f>+G36+G37-G38</f>
        <v>0</v>
      </c>
    </row>
    <row r="40" spans="1:7" ht="14.65" thickTop="1" x14ac:dyDescent="0.45">
      <c r="A40" s="42">
        <f t="shared" si="1"/>
        <v>31</v>
      </c>
      <c r="B40" s="52"/>
      <c r="C40" s="45"/>
      <c r="D40" s="45"/>
      <c r="E40" s="45"/>
      <c r="F40" s="45"/>
      <c r="G40" s="45"/>
    </row>
    <row r="41" spans="1:7" x14ac:dyDescent="0.45">
      <c r="A41" s="42">
        <f t="shared" si="1"/>
        <v>32</v>
      </c>
      <c r="B41" s="52"/>
      <c r="C41" s="97" t="s">
        <v>776</v>
      </c>
      <c r="D41" s="45"/>
      <c r="E41" s="97" t="s">
        <v>776</v>
      </c>
      <c r="F41" s="45"/>
      <c r="G41" s="97" t="s">
        <v>776</v>
      </c>
    </row>
    <row r="42" spans="1:7" x14ac:dyDescent="0.45">
      <c r="A42" s="42">
        <f t="shared" si="1"/>
        <v>33</v>
      </c>
      <c r="B42" s="52" t="s">
        <v>188</v>
      </c>
      <c r="C42" s="149">
        <v>28471127.329999998</v>
      </c>
      <c r="D42" s="45"/>
      <c r="E42" s="149">
        <v>430447.22</v>
      </c>
      <c r="F42" s="45"/>
      <c r="G42" s="45">
        <f>SUM(C42:F42)</f>
        <v>28901574.549999997</v>
      </c>
    </row>
    <row r="43" spans="1:7" x14ac:dyDescent="0.45">
      <c r="A43" s="42">
        <f t="shared" si="1"/>
        <v>34</v>
      </c>
      <c r="B43" s="52" t="s">
        <v>189</v>
      </c>
      <c r="C43" s="149">
        <v>379531.62</v>
      </c>
      <c r="D43" s="45"/>
      <c r="E43" s="149">
        <v>-288673.67</v>
      </c>
      <c r="F43" s="45"/>
      <c r="G43" s="45">
        <f>SUM(C43:F43)</f>
        <v>90857.950000000012</v>
      </c>
    </row>
    <row r="44" spans="1:7" x14ac:dyDescent="0.45">
      <c r="A44" s="42">
        <f t="shared" si="1"/>
        <v>35</v>
      </c>
      <c r="B44" s="52" t="s">
        <v>190</v>
      </c>
      <c r="C44" s="149">
        <v>600365.78</v>
      </c>
      <c r="D44" s="45"/>
      <c r="E44" s="149">
        <v>0</v>
      </c>
      <c r="F44" s="45"/>
      <c r="G44" s="45">
        <f>SUM(C44:F44)</f>
        <v>600365.78</v>
      </c>
    </row>
    <row r="45" spans="1:7" ht="14.65" thickBot="1" x14ac:dyDescent="0.5">
      <c r="A45" s="42">
        <f t="shared" si="1"/>
        <v>36</v>
      </c>
      <c r="B45" s="52" t="s">
        <v>191</v>
      </c>
      <c r="C45" s="47">
        <f>+C42+C43-C44</f>
        <v>28250293.169999998</v>
      </c>
      <c r="D45" s="45"/>
      <c r="E45" s="47">
        <f>+E42+E43-E44</f>
        <v>141773.54999999999</v>
      </c>
      <c r="F45" s="45"/>
      <c r="G45" s="47">
        <f>+G42+G43-G44</f>
        <v>28392066.719999995</v>
      </c>
    </row>
    <row r="46" spans="1:7" ht="14.65" thickTop="1" x14ac:dyDescent="0.45">
      <c r="A46" s="42"/>
      <c r="B46" s="52"/>
      <c r="C46" s="45"/>
      <c r="D46" s="45"/>
      <c r="E46" s="45"/>
      <c r="F46" s="45"/>
      <c r="G46" s="45"/>
    </row>
    <row r="47" spans="1:7" x14ac:dyDescent="0.45">
      <c r="A47" s="42"/>
    </row>
    <row r="48" spans="1:7" x14ac:dyDescent="0.45">
      <c r="A48" s="42"/>
    </row>
    <row r="49" spans="1:7" x14ac:dyDescent="0.45">
      <c r="A49" s="42"/>
    </row>
    <row r="50" spans="1:7" x14ac:dyDescent="0.45">
      <c r="A50" s="42"/>
    </row>
    <row r="51" spans="1:7" x14ac:dyDescent="0.45">
      <c r="A51" s="42"/>
    </row>
    <row r="52" spans="1:7" x14ac:dyDescent="0.45">
      <c r="A52" s="42"/>
    </row>
    <row r="53" spans="1:7" x14ac:dyDescent="0.45">
      <c r="A53" s="42"/>
    </row>
    <row r="54" spans="1:7" x14ac:dyDescent="0.45">
      <c r="A54" s="42"/>
    </row>
    <row r="55" spans="1:7" x14ac:dyDescent="0.45">
      <c r="A55" s="42"/>
    </row>
    <row r="56" spans="1:7" x14ac:dyDescent="0.45">
      <c r="A56" s="42"/>
    </row>
    <row r="58" spans="1:7" x14ac:dyDescent="0.45">
      <c r="C58" s="49"/>
      <c r="D58" s="49"/>
      <c r="E58" s="49"/>
      <c r="F58" s="49"/>
      <c r="G58" s="49"/>
    </row>
    <row r="59" spans="1:7" x14ac:dyDescent="0.45">
      <c r="C59" s="49"/>
      <c r="D59" s="49"/>
      <c r="E59" s="49"/>
      <c r="F59" s="49"/>
      <c r="G59" s="49"/>
    </row>
    <row r="60" spans="1:7" x14ac:dyDescent="0.45">
      <c r="C60" s="49"/>
      <c r="D60" s="49"/>
      <c r="E60" s="49"/>
      <c r="F60" s="49"/>
      <c r="G60" s="49"/>
    </row>
    <row r="61" spans="1:7" x14ac:dyDescent="0.45">
      <c r="C61" s="49"/>
      <c r="D61" s="49"/>
      <c r="E61" s="49"/>
      <c r="F61" s="49"/>
      <c r="G61" s="49"/>
    </row>
    <row r="62" spans="1:7" x14ac:dyDescent="0.45">
      <c r="C62" s="49"/>
      <c r="D62" s="49"/>
      <c r="E62" s="49"/>
      <c r="F62" s="49"/>
      <c r="G62" s="49"/>
    </row>
    <row r="63" spans="1:7" x14ac:dyDescent="0.45">
      <c r="C63" s="49"/>
      <c r="D63" s="49"/>
      <c r="E63" s="49"/>
      <c r="F63" s="49"/>
      <c r="G63" s="49"/>
    </row>
    <row r="64" spans="1:7" x14ac:dyDescent="0.45">
      <c r="C64" s="49"/>
      <c r="D64" s="49"/>
      <c r="E64" s="49"/>
      <c r="F64" s="49"/>
      <c r="G64" s="49"/>
    </row>
    <row r="65" spans="3:7" x14ac:dyDescent="0.45">
      <c r="C65" s="49"/>
      <c r="D65" s="49"/>
      <c r="E65" s="49"/>
      <c r="F65" s="49"/>
      <c r="G65" s="49"/>
    </row>
    <row r="66" spans="3:7" x14ac:dyDescent="0.45">
      <c r="C66" s="49"/>
      <c r="D66" s="49"/>
      <c r="E66" s="49"/>
      <c r="F66" s="49"/>
      <c r="G66" s="49"/>
    </row>
    <row r="67" spans="3:7" x14ac:dyDescent="0.45">
      <c r="C67" s="49"/>
      <c r="D67" s="49"/>
      <c r="E67" s="49"/>
      <c r="F67" s="49"/>
      <c r="G67" s="49"/>
    </row>
    <row r="68" spans="3:7" x14ac:dyDescent="0.45">
      <c r="C68" s="49"/>
      <c r="D68" s="49"/>
      <c r="E68" s="49"/>
      <c r="F68" s="49"/>
      <c r="G68" s="49"/>
    </row>
    <row r="69" spans="3:7" x14ac:dyDescent="0.45">
      <c r="C69" s="49"/>
      <c r="D69" s="49"/>
      <c r="E69" s="49"/>
      <c r="F69" s="49"/>
      <c r="G69" s="49"/>
    </row>
    <row r="70" spans="3:7" x14ac:dyDescent="0.45">
      <c r="C70" s="49"/>
      <c r="D70" s="49"/>
      <c r="E70" s="49"/>
      <c r="F70" s="49"/>
      <c r="G70" s="49"/>
    </row>
    <row r="71" spans="3:7" x14ac:dyDescent="0.45">
      <c r="C71" s="49"/>
      <c r="D71" s="49"/>
      <c r="E71" s="49"/>
      <c r="F71" s="49"/>
      <c r="G71" s="49"/>
    </row>
    <row r="72" spans="3:7" x14ac:dyDescent="0.45">
      <c r="C72" s="49"/>
      <c r="D72" s="49"/>
      <c r="E72" s="49"/>
      <c r="F72" s="49"/>
      <c r="G72" s="49"/>
    </row>
    <row r="73" spans="3:7" x14ac:dyDescent="0.45">
      <c r="C73" s="49"/>
      <c r="D73" s="49"/>
      <c r="E73" s="49"/>
      <c r="F73" s="49"/>
      <c r="G73" s="49"/>
    </row>
  </sheetData>
  <mergeCells count="3">
    <mergeCell ref="A1:G1"/>
    <mergeCell ref="A2:G2"/>
    <mergeCell ref="A3:G3"/>
  </mergeCells>
  <printOptions horizontalCentered="1"/>
  <pageMargins left="1.25" right="0.5" top="1" bottom="1" header="0.5" footer="0.5"/>
  <pageSetup scale="70" orientation="landscape" horizontalDpi="4294967292" verticalDpi="4294967292" r:id="rId1"/>
  <headerFooter alignWithMargins="0">
    <oddHeader>&amp;RSchedule F-1.0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9"/>
  <sheetViews>
    <sheetView zoomScaleNormal="100" zoomScaleSheetLayoutView="130" workbookViewId="0">
      <selection activeCell="E21" sqref="E21"/>
    </sheetView>
  </sheetViews>
  <sheetFormatPr defaultRowHeight="14.25" x14ac:dyDescent="0.45"/>
  <cols>
    <col min="1" max="1" width="19" customWidth="1"/>
    <col min="2" max="2" width="8.3984375" customWidth="1"/>
    <col min="3" max="3" width="13.265625" bestFit="1" customWidth="1"/>
    <col min="4" max="4" width="3.3984375" customWidth="1"/>
    <col min="5" max="5" width="11.59765625" bestFit="1" customWidth="1"/>
    <col min="6" max="7" width="13.265625" bestFit="1" customWidth="1"/>
    <col min="8" max="8" width="2.59765625" customWidth="1"/>
    <col min="12" max="12" width="2.59765625" customWidth="1"/>
    <col min="13" max="13" width="11.59765625" bestFit="1" customWidth="1"/>
    <col min="14" max="14" width="15" customWidth="1"/>
    <col min="15" max="15" width="2.3984375" customWidth="1"/>
    <col min="17" max="17" width="12" customWidth="1"/>
  </cols>
  <sheetData>
    <row r="1" spans="1:19" x14ac:dyDescent="0.45">
      <c r="A1" s="177" t="s">
        <v>27</v>
      </c>
      <c r="B1" s="177"/>
      <c r="C1" s="177"/>
      <c r="D1" s="177"/>
      <c r="E1" s="177"/>
      <c r="F1" s="177"/>
      <c r="G1" s="177"/>
      <c r="H1" s="177"/>
      <c r="I1" s="177"/>
      <c r="J1" s="177"/>
      <c r="K1" s="177"/>
      <c r="L1" s="177"/>
      <c r="M1" s="177"/>
      <c r="N1" s="177"/>
      <c r="O1" s="177"/>
      <c r="P1" s="177"/>
      <c r="Q1" s="177"/>
    </row>
    <row r="2" spans="1:19" x14ac:dyDescent="0.45">
      <c r="A2" s="177" t="s">
        <v>199</v>
      </c>
      <c r="B2" s="177"/>
      <c r="C2" s="177"/>
      <c r="D2" s="177"/>
      <c r="E2" s="177"/>
      <c r="F2" s="177"/>
      <c r="G2" s="177"/>
      <c r="H2" s="177"/>
      <c r="I2" s="177"/>
      <c r="J2" s="177"/>
      <c r="K2" s="177"/>
      <c r="L2" s="177"/>
      <c r="M2" s="177"/>
      <c r="N2" s="177"/>
      <c r="O2" s="177"/>
      <c r="P2" s="177"/>
      <c r="Q2" s="177"/>
    </row>
    <row r="3" spans="1:19" x14ac:dyDescent="0.45">
      <c r="A3" s="7"/>
    </row>
    <row r="4" spans="1:19" x14ac:dyDescent="0.45">
      <c r="A4" s="7" t="s">
        <v>241</v>
      </c>
      <c r="S4" s="34" t="s">
        <v>851</v>
      </c>
    </row>
    <row r="5" spans="1:19" x14ac:dyDescent="0.45">
      <c r="A5" s="7"/>
    </row>
    <row r="6" spans="1:19" x14ac:dyDescent="0.45">
      <c r="B6" t="s">
        <v>200</v>
      </c>
    </row>
    <row r="7" spans="1:19" x14ac:dyDescent="0.45">
      <c r="B7" t="s">
        <v>201</v>
      </c>
    </row>
    <row r="8" spans="1:19" x14ac:dyDescent="0.45">
      <c r="B8" t="s">
        <v>202</v>
      </c>
    </row>
    <row r="9" spans="1:19" x14ac:dyDescent="0.45">
      <c r="B9" t="s">
        <v>203</v>
      </c>
    </row>
    <row r="10" spans="1:19" x14ac:dyDescent="0.45">
      <c r="B10" t="s">
        <v>784</v>
      </c>
    </row>
    <row r="12" spans="1:19" x14ac:dyDescent="0.45">
      <c r="A12" t="s">
        <v>250</v>
      </c>
    </row>
    <row r="14" spans="1:19" x14ac:dyDescent="0.45">
      <c r="P14" t="s">
        <v>204</v>
      </c>
    </row>
    <row r="15" spans="1:19" x14ac:dyDescent="0.45">
      <c r="E15" t="s">
        <v>205</v>
      </c>
      <c r="I15" t="s">
        <v>206</v>
      </c>
      <c r="M15" t="s">
        <v>207</v>
      </c>
      <c r="P15" t="s">
        <v>208</v>
      </c>
    </row>
    <row r="16" spans="1:19" x14ac:dyDescent="0.45">
      <c r="B16" t="s">
        <v>34</v>
      </c>
      <c r="C16" t="s">
        <v>209</v>
      </c>
      <c r="E16" t="s">
        <v>33</v>
      </c>
      <c r="F16" t="s">
        <v>35</v>
      </c>
      <c r="G16" t="s">
        <v>142</v>
      </c>
      <c r="I16" t="s">
        <v>33</v>
      </c>
      <c r="J16" t="s">
        <v>35</v>
      </c>
      <c r="K16" t="s">
        <v>142</v>
      </c>
      <c r="M16" t="s">
        <v>33</v>
      </c>
      <c r="N16" t="s">
        <v>35</v>
      </c>
      <c r="P16" t="s">
        <v>33</v>
      </c>
      <c r="Q16" t="s">
        <v>35</v>
      </c>
    </row>
    <row r="17" spans="1:17" x14ac:dyDescent="0.45">
      <c r="C17" s="3" t="s">
        <v>101</v>
      </c>
      <c r="E17" s="3" t="s">
        <v>101</v>
      </c>
      <c r="F17" s="3" t="s">
        <v>101</v>
      </c>
      <c r="G17" s="3" t="s">
        <v>101</v>
      </c>
      <c r="I17" s="3" t="s">
        <v>101</v>
      </c>
      <c r="J17" s="3" t="s">
        <v>101</v>
      </c>
      <c r="K17" s="3" t="s">
        <v>101</v>
      </c>
      <c r="M17" s="3" t="s">
        <v>101</v>
      </c>
      <c r="N17" s="3" t="s">
        <v>101</v>
      </c>
      <c r="P17" s="3" t="s">
        <v>101</v>
      </c>
      <c r="Q17" s="3" t="s">
        <v>101</v>
      </c>
    </row>
    <row r="18" spans="1:17" x14ac:dyDescent="0.45">
      <c r="A18" t="s">
        <v>210</v>
      </c>
      <c r="B18" t="s">
        <v>211</v>
      </c>
      <c r="C18" s="10">
        <v>241001.57000000004</v>
      </c>
      <c r="D18" s="9"/>
      <c r="E18" s="10">
        <v>6436.98</v>
      </c>
      <c r="F18" s="10">
        <v>181922.27000000002</v>
      </c>
      <c r="G18" s="10">
        <v>52642.32</v>
      </c>
      <c r="H18" s="12"/>
      <c r="I18" s="11">
        <v>2.6709286582655867E-2</v>
      </c>
      <c r="J18" s="11">
        <v>0.75485927332340608</v>
      </c>
      <c r="K18" s="11">
        <v>0.21843144009393795</v>
      </c>
      <c r="L18" s="12"/>
      <c r="M18" s="10">
        <v>8235.9761257203972</v>
      </c>
      <c r="N18" s="10">
        <v>232765.59387427961</v>
      </c>
      <c r="O18" s="12"/>
      <c r="P18" s="11">
        <v>3.4173952168529011E-2</v>
      </c>
      <c r="Q18" s="11">
        <v>0.96582604783147086</v>
      </c>
    </row>
    <row r="19" spans="1:17" x14ac:dyDescent="0.45">
      <c r="A19" t="s">
        <v>212</v>
      </c>
      <c r="B19" t="s">
        <v>211</v>
      </c>
      <c r="C19" s="10">
        <v>104771.63000000002</v>
      </c>
      <c r="D19" s="9"/>
      <c r="E19" s="10">
        <v>3960</v>
      </c>
      <c r="F19" s="10">
        <v>79258.710000000021</v>
      </c>
      <c r="G19" s="10">
        <v>21552.92</v>
      </c>
      <c r="H19" s="12"/>
      <c r="I19" s="11">
        <v>3.7796491282993297E-2</v>
      </c>
      <c r="J19" s="11">
        <v>0.75649018727684203</v>
      </c>
      <c r="K19" s="11">
        <v>0.2057133214401646</v>
      </c>
      <c r="L19" s="12"/>
      <c r="M19" s="10">
        <v>4985.6054581956387</v>
      </c>
      <c r="N19" s="10">
        <v>99786.024541804378</v>
      </c>
      <c r="O19" s="12"/>
      <c r="P19" s="11">
        <v>4.7585452838670522E-2</v>
      </c>
      <c r="Q19" s="11">
        <v>0.95241454716132945</v>
      </c>
    </row>
    <row r="20" spans="1:17" x14ac:dyDescent="0.45">
      <c r="A20" t="s">
        <v>213</v>
      </c>
      <c r="B20" t="s">
        <v>211</v>
      </c>
      <c r="C20" s="10">
        <v>147514.32</v>
      </c>
      <c r="D20" s="9"/>
      <c r="E20" s="10">
        <v>9232.18</v>
      </c>
      <c r="F20" s="10">
        <v>112288.89</v>
      </c>
      <c r="G20" s="10">
        <v>25993.25</v>
      </c>
      <c r="H20" s="12"/>
      <c r="I20" s="11">
        <v>6.2584974801090501E-2</v>
      </c>
      <c r="J20" s="11">
        <v>0.76120670860971329</v>
      </c>
      <c r="K20" s="11">
        <v>0.17620831658919622</v>
      </c>
      <c r="L20" s="12"/>
      <c r="M20" s="10">
        <v>11206.935182660916</v>
      </c>
      <c r="N20" s="10">
        <v>136307.38481733907</v>
      </c>
      <c r="O20" s="12"/>
      <c r="P20" s="11">
        <v>7.5971845870020732E-2</v>
      </c>
      <c r="Q20" s="11">
        <v>0.92402815412997918</v>
      </c>
    </row>
    <row r="21" spans="1:17" x14ac:dyDescent="0.45">
      <c r="A21" t="s">
        <v>214</v>
      </c>
      <c r="B21" t="s">
        <v>215</v>
      </c>
      <c r="C21" s="10">
        <v>415374.57999999984</v>
      </c>
      <c r="D21" s="9"/>
      <c r="E21" s="10">
        <v>29137.25</v>
      </c>
      <c r="F21" s="10">
        <v>184395.63000000006</v>
      </c>
      <c r="G21" s="10">
        <v>201841.7</v>
      </c>
      <c r="H21" s="12"/>
      <c r="I21" s="11">
        <v>7.0146926179257316E-2</v>
      </c>
      <c r="J21" s="11">
        <v>0.44392613048203416</v>
      </c>
      <c r="K21" s="11">
        <v>0.48592694333870912</v>
      </c>
      <c r="L21" s="12"/>
      <c r="M21" s="10">
        <v>56679.200791489347</v>
      </c>
      <c r="N21" s="10">
        <v>358695.37920851074</v>
      </c>
      <c r="O21" s="12"/>
      <c r="P21" s="11">
        <v>0.13645322444018931</v>
      </c>
      <c r="Q21" s="11">
        <v>0.8635467755598113</v>
      </c>
    </row>
    <row r="22" spans="1:17" x14ac:dyDescent="0.45">
      <c r="A22" t="s">
        <v>216</v>
      </c>
      <c r="B22" t="s">
        <v>211</v>
      </c>
      <c r="C22" s="10">
        <v>534034.78999999992</v>
      </c>
      <c r="D22" s="9"/>
      <c r="E22" s="10">
        <v>50473.495999999999</v>
      </c>
      <c r="F22" s="10">
        <v>383881.58399999997</v>
      </c>
      <c r="G22" s="10">
        <v>99679.71</v>
      </c>
      <c r="H22" s="12"/>
      <c r="I22" s="11">
        <v>9.4513497894022983E-2</v>
      </c>
      <c r="J22" s="11">
        <v>0.71883253898121513</v>
      </c>
      <c r="K22" s="11">
        <v>0.18665396312476201</v>
      </c>
      <c r="L22" s="12"/>
      <c r="M22" s="10">
        <v>62056.607780265491</v>
      </c>
      <c r="N22" s="10">
        <v>471978.18221973447</v>
      </c>
      <c r="O22" s="12"/>
      <c r="P22" s="11">
        <v>0.11620330536942265</v>
      </c>
      <c r="Q22" s="11">
        <v>0.88379669463057742</v>
      </c>
    </row>
    <row r="23" spans="1:17" x14ac:dyDescent="0.45">
      <c r="A23" t="s">
        <v>217</v>
      </c>
      <c r="B23" t="s">
        <v>215</v>
      </c>
      <c r="C23" s="10">
        <v>4572.8500000000004</v>
      </c>
      <c r="D23" s="9"/>
      <c r="E23" s="10">
        <v>0</v>
      </c>
      <c r="F23" s="10">
        <v>2541.4</v>
      </c>
      <c r="G23" s="10">
        <v>2031.45</v>
      </c>
      <c r="H23" s="12"/>
      <c r="I23" s="11">
        <v>0</v>
      </c>
      <c r="J23" s="11">
        <v>0.55575844385886264</v>
      </c>
      <c r="K23" s="11">
        <v>0.44424155614113736</v>
      </c>
      <c r="L23" s="12"/>
      <c r="M23" s="10">
        <v>0</v>
      </c>
      <c r="N23" s="10">
        <v>4572.8500000000004</v>
      </c>
      <c r="O23" s="12"/>
      <c r="P23" s="11">
        <v>0</v>
      </c>
      <c r="Q23" s="11">
        <v>1</v>
      </c>
    </row>
    <row r="24" spans="1:17" x14ac:dyDescent="0.45">
      <c r="A24" t="s">
        <v>218</v>
      </c>
      <c r="B24" t="s">
        <v>215</v>
      </c>
      <c r="C24" s="10">
        <v>841841.37</v>
      </c>
      <c r="D24" s="9"/>
      <c r="E24" s="10">
        <v>95450.47</v>
      </c>
      <c r="F24" s="10">
        <v>574401.28000000003</v>
      </c>
      <c r="G24" s="10">
        <v>171989.62</v>
      </c>
      <c r="H24" s="12"/>
      <c r="I24" s="11">
        <v>0.11338296429884409</v>
      </c>
      <c r="J24" s="11">
        <v>0.68231533929010879</v>
      </c>
      <c r="K24" s="11">
        <v>0.20430169641104712</v>
      </c>
      <c r="L24" s="12"/>
      <c r="M24" s="10">
        <v>119958.11675037633</v>
      </c>
      <c r="N24" s="10">
        <v>721883.2532496237</v>
      </c>
      <c r="O24" s="12"/>
      <c r="P24" s="11">
        <v>0.14249491771873402</v>
      </c>
      <c r="Q24" s="11">
        <v>0.85750508228126598</v>
      </c>
    </row>
    <row r="25" spans="1:17" x14ac:dyDescent="0.45">
      <c r="A25" t="s">
        <v>219</v>
      </c>
      <c r="B25" t="s">
        <v>215</v>
      </c>
      <c r="C25" s="10">
        <v>387838.85000000003</v>
      </c>
      <c r="D25" s="9"/>
      <c r="E25" s="10">
        <v>35008.47</v>
      </c>
      <c r="F25" s="10">
        <v>237406.5</v>
      </c>
      <c r="G25" s="10">
        <v>115423.88</v>
      </c>
      <c r="H25" s="12"/>
      <c r="I25" s="11">
        <v>9.0265505892460227E-2</v>
      </c>
      <c r="J25" s="11">
        <v>0.61212666033843688</v>
      </c>
      <c r="K25" s="11">
        <v>0.29760783376910277</v>
      </c>
      <c r="L25" s="12"/>
      <c r="M25" s="10">
        <v>49841.771709754059</v>
      </c>
      <c r="N25" s="10">
        <v>337997.07829024596</v>
      </c>
      <c r="O25" s="12"/>
      <c r="P25" s="11">
        <v>0.12851154986086116</v>
      </c>
      <c r="Q25" s="11">
        <v>0.87148845013913878</v>
      </c>
    </row>
    <row r="26" spans="1:17" x14ac:dyDescent="0.45">
      <c r="A26" t="s">
        <v>220</v>
      </c>
      <c r="B26" t="s">
        <v>215</v>
      </c>
      <c r="C26" s="10">
        <v>224587.79999999996</v>
      </c>
      <c r="D26" s="9"/>
      <c r="E26" s="10">
        <v>57897.85</v>
      </c>
      <c r="F26" s="10">
        <v>141773.96</v>
      </c>
      <c r="G26" s="10">
        <v>24915.989999999998</v>
      </c>
      <c r="H26" s="12"/>
      <c r="I26" s="11">
        <v>0.2577960601599909</v>
      </c>
      <c r="J26" s="11">
        <v>0.63126296263643888</v>
      </c>
      <c r="K26" s="11">
        <v>0.11094097720357028</v>
      </c>
      <c r="L26" s="12"/>
      <c r="M26" s="10">
        <v>65122.616739088007</v>
      </c>
      <c r="N26" s="10">
        <v>159465.18326091199</v>
      </c>
      <c r="O26" s="12"/>
      <c r="P26" s="11">
        <v>0.28996506817862777</v>
      </c>
      <c r="Q26" s="11">
        <v>0.71003493182137234</v>
      </c>
    </row>
    <row r="27" spans="1:17" x14ac:dyDescent="0.45">
      <c r="A27" t="s">
        <v>221</v>
      </c>
      <c r="B27" t="s">
        <v>215</v>
      </c>
      <c r="C27" s="10">
        <v>63935.15</v>
      </c>
      <c r="D27" s="9"/>
      <c r="E27" s="10">
        <v>2832.21</v>
      </c>
      <c r="F27" s="10">
        <v>45031.72</v>
      </c>
      <c r="G27" s="10">
        <v>16071.22</v>
      </c>
      <c r="H27" s="12"/>
      <c r="I27" s="11">
        <v>4.4298167752793258E-2</v>
      </c>
      <c r="J27" s="11">
        <v>0.70433431375385835</v>
      </c>
      <c r="K27" s="11">
        <v>0.25136751849334832</v>
      </c>
      <c r="L27" s="12"/>
      <c r="M27" s="10">
        <v>3783.1780879986245</v>
      </c>
      <c r="N27" s="10">
        <v>60151.971912001376</v>
      </c>
      <c r="O27" s="12"/>
      <c r="P27" s="11">
        <v>5.9172115620259348E-2</v>
      </c>
      <c r="Q27" s="11">
        <v>0.94082788437974063</v>
      </c>
    </row>
    <row r="28" spans="1:17" x14ac:dyDescent="0.45">
      <c r="A28" t="s">
        <v>222</v>
      </c>
      <c r="B28" t="s">
        <v>215</v>
      </c>
      <c r="C28" s="10">
        <v>142798.63</v>
      </c>
      <c r="D28" s="9"/>
      <c r="E28" s="10">
        <v>3262.8799999999997</v>
      </c>
      <c r="F28" s="10">
        <v>130813.33000000002</v>
      </c>
      <c r="G28" s="10">
        <v>8722.42</v>
      </c>
      <c r="H28" s="12"/>
      <c r="I28" s="11">
        <v>2.2849518934460362E-2</v>
      </c>
      <c r="J28" s="11">
        <v>0.91606852250613335</v>
      </c>
      <c r="K28" s="11">
        <v>6.1081958559406346E-2</v>
      </c>
      <c r="L28" s="12"/>
      <c r="M28" s="10">
        <v>3475.1489011689691</v>
      </c>
      <c r="N28" s="10">
        <v>139323.48109883105</v>
      </c>
      <c r="O28" s="12"/>
      <c r="P28" s="11">
        <v>2.4336010094557412E-2</v>
      </c>
      <c r="Q28" s="11">
        <v>0.97566398990544267</v>
      </c>
    </row>
    <row r="29" spans="1:17" x14ac:dyDescent="0.45">
      <c r="A29" t="s">
        <v>223</v>
      </c>
      <c r="B29" t="s">
        <v>215</v>
      </c>
      <c r="C29" s="10">
        <v>227512</v>
      </c>
      <c r="D29" s="9"/>
      <c r="E29" s="10">
        <v>13400</v>
      </c>
      <c r="F29" s="10">
        <v>149190</v>
      </c>
      <c r="G29" s="10">
        <v>64922</v>
      </c>
      <c r="H29" s="12"/>
      <c r="I29" s="11">
        <v>5.8897992193818346E-2</v>
      </c>
      <c r="J29" s="11">
        <v>0.65574563099968353</v>
      </c>
      <c r="K29" s="11">
        <v>0.28535637680649811</v>
      </c>
      <c r="L29" s="12"/>
      <c r="M29" s="10">
        <v>18750.60458822806</v>
      </c>
      <c r="N29" s="10">
        <v>208761.39541177195</v>
      </c>
      <c r="O29" s="12"/>
      <c r="P29" s="11">
        <v>8.2415892736330654E-2</v>
      </c>
      <c r="Q29" s="11">
        <v>0.91758410726366946</v>
      </c>
    </row>
    <row r="30" spans="1:17" x14ac:dyDescent="0.45">
      <c r="A30" t="s">
        <v>224</v>
      </c>
      <c r="B30" t="s">
        <v>215</v>
      </c>
      <c r="C30" s="10">
        <v>448782.1399999999</v>
      </c>
      <c r="D30" s="9"/>
      <c r="E30" s="10">
        <v>14097.5</v>
      </c>
      <c r="F30" s="10">
        <v>371410.41499999998</v>
      </c>
      <c r="G30" s="10">
        <v>63274.224999999999</v>
      </c>
      <c r="H30" s="12"/>
      <c r="I30" s="11">
        <v>3.1412791961819168E-2</v>
      </c>
      <c r="J30" s="11">
        <v>0.82759624747990213</v>
      </c>
      <c r="K30" s="11">
        <v>0.14099096055827892</v>
      </c>
      <c r="L30" s="12"/>
      <c r="M30" s="10">
        <v>16411.352328913923</v>
      </c>
      <c r="N30" s="10">
        <v>432370.78767108603</v>
      </c>
      <c r="O30" s="12"/>
      <c r="P30" s="11">
        <v>3.6568639582925305E-2</v>
      </c>
      <c r="Q30" s="11">
        <v>0.96343136041707478</v>
      </c>
    </row>
    <row r="31" spans="1:17" x14ac:dyDescent="0.45">
      <c r="A31" t="s">
        <v>225</v>
      </c>
      <c r="B31" t="s">
        <v>215</v>
      </c>
      <c r="C31" s="10">
        <v>394385.57</v>
      </c>
      <c r="D31" s="9"/>
      <c r="E31" s="10">
        <v>15360</v>
      </c>
      <c r="F31" s="10">
        <v>283511.56</v>
      </c>
      <c r="G31" s="10">
        <v>95514.01</v>
      </c>
      <c r="H31" s="12"/>
      <c r="I31" s="11">
        <v>3.8946658215715142E-2</v>
      </c>
      <c r="J31" s="11">
        <v>0.71886899918777447</v>
      </c>
      <c r="K31" s="11">
        <v>0.24218434259651028</v>
      </c>
      <c r="L31" s="12"/>
      <c r="M31" s="10">
        <v>20268.781530099419</v>
      </c>
      <c r="N31" s="10">
        <v>374116.78846990061</v>
      </c>
      <c r="O31" s="12"/>
      <c r="P31" s="11">
        <v>5.1393314238397256E-2</v>
      </c>
      <c r="Q31" s="11">
        <v>0.94860668576160279</v>
      </c>
    </row>
    <row r="32" spans="1:17" x14ac:dyDescent="0.45">
      <c r="A32" t="s">
        <v>226</v>
      </c>
      <c r="B32" t="s">
        <v>215</v>
      </c>
      <c r="C32" s="10">
        <v>348794.58999999997</v>
      </c>
      <c r="D32" s="9"/>
      <c r="E32" s="10">
        <v>14170</v>
      </c>
      <c r="F32" s="10">
        <v>264060.13500000001</v>
      </c>
      <c r="G32" s="10">
        <v>70564.455000000002</v>
      </c>
      <c r="H32" s="12"/>
      <c r="I32" s="11">
        <v>4.0625630116568036E-2</v>
      </c>
      <c r="J32" s="11">
        <v>0.75706488165427122</v>
      </c>
      <c r="K32" s="11">
        <v>0.20230948822916092</v>
      </c>
      <c r="L32" s="12"/>
      <c r="M32" s="10">
        <v>17763.781555509795</v>
      </c>
      <c r="N32" s="10">
        <v>331030.80844449019</v>
      </c>
      <c r="O32" s="12"/>
      <c r="P32" s="11">
        <v>5.0929062734344006E-2</v>
      </c>
      <c r="Q32" s="11">
        <v>0.94907093726565606</v>
      </c>
    </row>
    <row r="33" spans="1:17" x14ac:dyDescent="0.45">
      <c r="A33" t="s">
        <v>227</v>
      </c>
      <c r="B33" t="s">
        <v>215</v>
      </c>
      <c r="C33" s="10">
        <v>409455.4200000001</v>
      </c>
      <c r="D33" s="9"/>
      <c r="E33" s="10">
        <v>13747.970000000001</v>
      </c>
      <c r="F33" s="10">
        <v>312971.565</v>
      </c>
      <c r="G33" s="10">
        <v>82735.884999999995</v>
      </c>
      <c r="H33" s="12"/>
      <c r="I33" s="11">
        <v>3.3576231571192779E-2</v>
      </c>
      <c r="J33" s="11">
        <v>0.76436053771128476</v>
      </c>
      <c r="K33" s="11">
        <v>0.20206323071752225</v>
      </c>
      <c r="L33" s="12"/>
      <c r="M33" s="10">
        <v>17229.397778426075</v>
      </c>
      <c r="N33" s="10">
        <v>392226.02222157392</v>
      </c>
      <c r="O33" s="12"/>
      <c r="P33" s="11">
        <v>4.2078812336703394E-2</v>
      </c>
      <c r="Q33" s="11">
        <v>0.95792118766329637</v>
      </c>
    </row>
    <row r="34" spans="1:17" x14ac:dyDescent="0.45">
      <c r="A34" t="s">
        <v>228</v>
      </c>
      <c r="B34" t="s">
        <v>215</v>
      </c>
      <c r="C34" s="10">
        <v>518449.9</v>
      </c>
      <c r="D34" s="9"/>
      <c r="E34" s="10">
        <v>8475</v>
      </c>
      <c r="F34" s="10">
        <v>419893.23000000004</v>
      </c>
      <c r="G34" s="10">
        <v>90081.669999999984</v>
      </c>
      <c r="H34" s="12"/>
      <c r="I34" s="11">
        <v>1.6346806123407488E-2</v>
      </c>
      <c r="J34" s="11">
        <v>0.80990126529101469</v>
      </c>
      <c r="K34" s="11">
        <v>0.17375192858557786</v>
      </c>
      <c r="L34" s="12"/>
      <c r="M34" s="10">
        <v>10257.210023488436</v>
      </c>
      <c r="N34" s="10">
        <v>508192.68997651158</v>
      </c>
      <c r="O34" s="12"/>
      <c r="P34" s="11">
        <v>1.9784380368264003E-2</v>
      </c>
      <c r="Q34" s="11">
        <v>0.98021561963173598</v>
      </c>
    </row>
    <row r="35" spans="1:17" x14ac:dyDescent="0.45">
      <c r="A35" t="s">
        <v>229</v>
      </c>
      <c r="B35" t="s">
        <v>215</v>
      </c>
      <c r="C35" s="10">
        <v>339088.46</v>
      </c>
      <c r="D35" s="9"/>
      <c r="E35" s="10">
        <v>15250</v>
      </c>
      <c r="F35" s="10">
        <v>235802.435</v>
      </c>
      <c r="G35" s="10">
        <v>88036.024999999994</v>
      </c>
      <c r="H35" s="12"/>
      <c r="I35" s="11">
        <v>4.4973515170643082E-2</v>
      </c>
      <c r="J35" s="11">
        <v>0.69540094345882486</v>
      </c>
      <c r="K35" s="11">
        <v>0.25962554137053201</v>
      </c>
      <c r="L35" s="12"/>
      <c r="M35" s="10">
        <v>20597.685160870875</v>
      </c>
      <c r="N35" s="10">
        <v>318490.77483912912</v>
      </c>
      <c r="O35" s="12"/>
      <c r="P35" s="11">
        <v>6.0744282364757776E-2</v>
      </c>
      <c r="Q35" s="11">
        <v>0.93925571763524218</v>
      </c>
    </row>
    <row r="36" spans="1:17" x14ac:dyDescent="0.45">
      <c r="A36" t="s">
        <v>230</v>
      </c>
      <c r="B36" t="s">
        <v>215</v>
      </c>
      <c r="C36" s="10">
        <v>352419.16</v>
      </c>
      <c r="D36" s="9"/>
      <c r="E36" s="10">
        <v>10726.8</v>
      </c>
      <c r="F36" s="10">
        <v>267828.59999999998</v>
      </c>
      <c r="G36" s="10">
        <v>73863.760000000009</v>
      </c>
      <c r="H36" s="12"/>
      <c r="I36" s="11">
        <v>3.0437618658418004E-2</v>
      </c>
      <c r="J36" s="11">
        <v>0.75997173365942983</v>
      </c>
      <c r="K36" s="11">
        <v>0.20959064768215216</v>
      </c>
      <c r="L36" s="12"/>
      <c r="M36" s="10">
        <v>13571.195695678489</v>
      </c>
      <c r="N36" s="10">
        <v>338847.9643043215</v>
      </c>
      <c r="O36" s="12"/>
      <c r="P36" s="11">
        <v>3.850867726850745E-2</v>
      </c>
      <c r="Q36" s="11">
        <v>0.96149132273149263</v>
      </c>
    </row>
    <row r="37" spans="1:17" x14ac:dyDescent="0.45">
      <c r="A37" t="s">
        <v>231</v>
      </c>
      <c r="B37" t="s">
        <v>215</v>
      </c>
      <c r="C37" s="10">
        <v>287113.28000000003</v>
      </c>
      <c r="D37" s="9"/>
      <c r="E37" s="10">
        <v>10479.41</v>
      </c>
      <c r="F37" s="10">
        <v>191758.58500000002</v>
      </c>
      <c r="G37" s="10">
        <v>84875.285000000003</v>
      </c>
      <c r="H37" s="12"/>
      <c r="I37" s="11">
        <v>3.6499217312414109E-2</v>
      </c>
      <c r="J37" s="11">
        <v>0.66788476311510214</v>
      </c>
      <c r="K37" s="11">
        <v>0.29561601957248373</v>
      </c>
      <c r="L37" s="12"/>
      <c r="M37" s="10">
        <v>14877.411030329884</v>
      </c>
      <c r="N37" s="10">
        <v>272235.86896967015</v>
      </c>
      <c r="O37" s="12"/>
      <c r="P37" s="11">
        <v>5.1817216641215212E-2</v>
      </c>
      <c r="Q37" s="11">
        <v>0.94818278335878481</v>
      </c>
    </row>
    <row r="38" spans="1:17" x14ac:dyDescent="0.45">
      <c r="A38" t="s">
        <v>232</v>
      </c>
      <c r="B38" t="s">
        <v>215</v>
      </c>
      <c r="C38" s="10">
        <v>612594.82999999996</v>
      </c>
      <c r="D38" s="9"/>
      <c r="E38" s="10">
        <v>92986.167320378241</v>
      </c>
      <c r="F38" s="10">
        <v>460643.7396120081</v>
      </c>
      <c r="G38" s="10">
        <v>58964.923067613548</v>
      </c>
      <c r="H38" s="12"/>
      <c r="I38" s="11">
        <v>0.15179064981723442</v>
      </c>
      <c r="J38" s="11">
        <v>0.75195499056367832</v>
      </c>
      <c r="K38" s="11">
        <v>9.625435961908714E-2</v>
      </c>
      <c r="L38" s="12"/>
      <c r="M38" s="10">
        <v>102889.75477788884</v>
      </c>
      <c r="N38" s="10">
        <v>509705.07522211107</v>
      </c>
      <c r="O38" s="12"/>
      <c r="P38" s="11">
        <v>0.16795726920824461</v>
      </c>
      <c r="Q38" s="11">
        <v>0.83204273079175528</v>
      </c>
    </row>
    <row r="39" spans="1:17" x14ac:dyDescent="0.45">
      <c r="A39" t="s">
        <v>233</v>
      </c>
      <c r="C39" s="10">
        <v>7046866.8900000006</v>
      </c>
      <c r="D39" s="9"/>
      <c r="E39" s="10">
        <v>502384.63332037826</v>
      </c>
      <c r="F39" s="10">
        <v>5030785.538612009</v>
      </c>
      <c r="G39" s="10">
        <v>1513696.7180676132</v>
      </c>
      <c r="H39" s="12"/>
      <c r="I39" s="11">
        <v>7.1291914713657686E-2</v>
      </c>
      <c r="J39" s="11">
        <v>0.71390386921470694</v>
      </c>
      <c r="K39" s="11">
        <v>0.21480421607163536</v>
      </c>
      <c r="L39" s="12"/>
      <c r="M39" s="10">
        <v>637962.33199615171</v>
      </c>
      <c r="N39" s="10">
        <v>6408904.5580038493</v>
      </c>
      <c r="O39" s="12"/>
      <c r="P39" s="11">
        <v>9.0531344206524617E-2</v>
      </c>
      <c r="Q39" s="11">
        <v>0.90946865579347547</v>
      </c>
    </row>
  </sheetData>
  <mergeCells count="2">
    <mergeCell ref="A1:Q1"/>
    <mergeCell ref="A2:Q2"/>
  </mergeCells>
  <printOptions horizontalCentered="1"/>
  <pageMargins left="0.7" right="0.7" top="0.75" bottom="0.75" header="0.3" footer="0.3"/>
  <pageSetup scale="74" orientation="landscape" r:id="rId1"/>
  <headerFooter>
    <oddHeader>&amp;RSchedule G-1.0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zoomScaleNormal="100" workbookViewId="0">
      <selection activeCell="L18" sqref="L18"/>
    </sheetView>
  </sheetViews>
  <sheetFormatPr defaultColWidth="9.1328125" defaultRowHeight="14.25" x14ac:dyDescent="0.45"/>
  <cols>
    <col min="1" max="1" width="4.3984375" style="34" customWidth="1"/>
    <col min="2" max="2" width="18.73046875" style="34" customWidth="1"/>
    <col min="3" max="6" width="11.73046875" style="34" bestFit="1" customWidth="1"/>
    <col min="7" max="7" width="12.265625" style="34" bestFit="1" customWidth="1"/>
    <col min="8" max="11" width="11.73046875" style="34" bestFit="1" customWidth="1"/>
    <col min="12" max="12" width="12.3984375" style="34" bestFit="1" customWidth="1"/>
    <col min="13" max="14" width="11.73046875" style="34" bestFit="1" customWidth="1"/>
    <col min="15" max="15" width="9.1328125" style="34" bestFit="1" customWidth="1"/>
    <col min="16" max="17" width="9.1328125" style="34"/>
    <col min="18" max="18" width="5.73046875" style="34" customWidth="1"/>
    <col min="19" max="19" width="10.1328125" style="34" bestFit="1" customWidth="1"/>
    <col min="20" max="16384" width="9.1328125" style="34"/>
  </cols>
  <sheetData>
    <row r="1" spans="1:17" x14ac:dyDescent="0.45">
      <c r="B1" s="99" t="s">
        <v>27</v>
      </c>
      <c r="C1" s="99"/>
      <c r="D1" s="99"/>
      <c r="E1" s="99"/>
      <c r="F1" s="99"/>
      <c r="G1" s="99"/>
      <c r="H1" s="99"/>
      <c r="I1" s="99"/>
      <c r="J1" s="99"/>
      <c r="K1" s="99"/>
      <c r="L1" s="99"/>
      <c r="M1" s="99"/>
      <c r="N1" s="99"/>
    </row>
    <row r="2" spans="1:17" x14ac:dyDescent="0.45">
      <c r="B2" s="99" t="s">
        <v>172</v>
      </c>
      <c r="C2" s="99"/>
      <c r="D2" s="99"/>
      <c r="E2" s="99"/>
      <c r="F2" s="99"/>
      <c r="G2" s="99"/>
      <c r="H2" s="99"/>
      <c r="I2" s="99"/>
      <c r="J2" s="99"/>
      <c r="K2" s="99"/>
      <c r="L2" s="99"/>
      <c r="M2" s="99"/>
      <c r="N2" s="99"/>
    </row>
    <row r="4" spans="1:17" x14ac:dyDescent="0.45">
      <c r="B4" s="100"/>
      <c r="C4" s="42" t="s">
        <v>509</v>
      </c>
      <c r="D4" s="42" t="s">
        <v>510</v>
      </c>
      <c r="E4" s="42" t="s">
        <v>511</v>
      </c>
      <c r="F4" s="42" t="s">
        <v>512</v>
      </c>
      <c r="G4" s="88" t="s">
        <v>513</v>
      </c>
      <c r="H4" s="56" t="s">
        <v>514</v>
      </c>
      <c r="I4" s="42" t="s">
        <v>515</v>
      </c>
      <c r="J4" s="88" t="s">
        <v>516</v>
      </c>
      <c r="K4" s="56" t="s">
        <v>548</v>
      </c>
      <c r="L4" s="56" t="s">
        <v>549</v>
      </c>
      <c r="M4" s="56" t="s">
        <v>550</v>
      </c>
      <c r="N4" s="56" t="s">
        <v>644</v>
      </c>
      <c r="O4" s="56" t="s">
        <v>645</v>
      </c>
    </row>
    <row r="5" spans="1:17" x14ac:dyDescent="0.45">
      <c r="B5" s="100"/>
      <c r="C5" s="101" t="s">
        <v>0</v>
      </c>
      <c r="D5" s="101" t="s">
        <v>532</v>
      </c>
      <c r="E5" s="101" t="s">
        <v>533</v>
      </c>
      <c r="F5" s="101" t="s">
        <v>534</v>
      </c>
      <c r="G5" s="101" t="s">
        <v>535</v>
      </c>
      <c r="H5" s="101" t="s">
        <v>536</v>
      </c>
      <c r="I5" s="101" t="s">
        <v>537</v>
      </c>
      <c r="J5" s="102" t="s">
        <v>0</v>
      </c>
      <c r="K5" s="56" t="s">
        <v>538</v>
      </c>
      <c r="L5" s="56" t="s">
        <v>539</v>
      </c>
      <c r="M5" s="56" t="s">
        <v>540</v>
      </c>
      <c r="N5" s="56" t="s">
        <v>541</v>
      </c>
      <c r="Q5" s="34" t="s">
        <v>751</v>
      </c>
    </row>
    <row r="6" spans="1:17" x14ac:dyDescent="0.45">
      <c r="B6" s="100"/>
      <c r="C6" s="103" t="s">
        <v>145</v>
      </c>
      <c r="D6" s="103" t="s">
        <v>145</v>
      </c>
      <c r="E6" s="103" t="s">
        <v>145</v>
      </c>
      <c r="F6" s="103" t="s">
        <v>145</v>
      </c>
      <c r="G6" s="103" t="s">
        <v>145</v>
      </c>
      <c r="H6" s="103" t="s">
        <v>145</v>
      </c>
      <c r="I6" s="103" t="s">
        <v>145</v>
      </c>
      <c r="J6" s="103" t="s">
        <v>145</v>
      </c>
      <c r="K6" s="103" t="s">
        <v>145</v>
      </c>
      <c r="L6" s="103" t="s">
        <v>145</v>
      </c>
      <c r="M6" s="103" t="s">
        <v>145</v>
      </c>
      <c r="N6" s="103" t="s">
        <v>145</v>
      </c>
    </row>
    <row r="7" spans="1:17" x14ac:dyDescent="0.45">
      <c r="A7" s="34">
        <v>1</v>
      </c>
      <c r="B7" s="59" t="s">
        <v>169</v>
      </c>
      <c r="C7" s="148">
        <f>D7+E7</f>
        <v>11</v>
      </c>
      <c r="D7" s="148">
        <f>F7+G7</f>
        <v>11</v>
      </c>
      <c r="E7" s="148">
        <f>I7+H7</f>
        <v>0</v>
      </c>
      <c r="F7" s="157">
        <v>11</v>
      </c>
      <c r="G7" s="157">
        <v>0</v>
      </c>
      <c r="H7" s="157">
        <v>0</v>
      </c>
      <c r="I7" s="157">
        <v>0</v>
      </c>
      <c r="J7" s="56">
        <f>SUM(F7:I7)</f>
        <v>11</v>
      </c>
      <c r="K7" s="104">
        <f>IFERROR(H7/$H$24,0)</f>
        <v>0</v>
      </c>
      <c r="L7" s="104">
        <f>IFERROR(I7/$I$24,0)</f>
        <v>0</v>
      </c>
      <c r="M7" s="104">
        <f>IFERROR(E7/$C$24,0)</f>
        <v>0</v>
      </c>
      <c r="N7" s="104">
        <f>IFERROR(E7/$E$24,0)</f>
        <v>0</v>
      </c>
    </row>
    <row r="8" spans="1:17" x14ac:dyDescent="0.45">
      <c r="A8" s="34">
        <f>+A7+1</f>
        <v>2</v>
      </c>
      <c r="B8" s="59" t="s">
        <v>22</v>
      </c>
      <c r="C8" s="148">
        <f t="shared" ref="C8:C23" si="0">D8+E8</f>
        <v>32</v>
      </c>
      <c r="D8" s="148">
        <f t="shared" ref="D8:D23" si="1">F8+G8</f>
        <v>26</v>
      </c>
      <c r="E8" s="148">
        <f t="shared" ref="E8:E23" si="2">I8+H8</f>
        <v>6</v>
      </c>
      <c r="F8" s="157">
        <v>2</v>
      </c>
      <c r="G8" s="157">
        <v>24</v>
      </c>
      <c r="H8" s="157">
        <v>1</v>
      </c>
      <c r="I8" s="157">
        <v>5</v>
      </c>
      <c r="J8" s="56">
        <f>SUM(F8:I8)</f>
        <v>32</v>
      </c>
      <c r="K8" s="104">
        <f t="shared" ref="K8:K23" si="3">IFERROR(H8/$H$24,0)</f>
        <v>4.3478260869565216E-2</v>
      </c>
      <c r="L8" s="104">
        <f t="shared" ref="L8:L23" si="4">IFERROR(I8/$I$24,0)</f>
        <v>0.13513513513513514</v>
      </c>
      <c r="M8" s="104">
        <f t="shared" ref="M8:M23" si="5">IFERROR(E8/$C$24,0)</f>
        <v>1.7191977077363897E-2</v>
      </c>
      <c r="N8" s="104">
        <f t="shared" ref="N8:N23" si="6">IFERROR(E8/$E$24,0)</f>
        <v>0.1</v>
      </c>
    </row>
    <row r="9" spans="1:17" x14ac:dyDescent="0.45">
      <c r="A9" s="34">
        <f t="shared" ref="A9:A22" si="7">+A8+1</f>
        <v>3</v>
      </c>
      <c r="B9" s="59" t="s">
        <v>21</v>
      </c>
      <c r="C9" s="148">
        <f t="shared" si="0"/>
        <v>14</v>
      </c>
      <c r="D9" s="148">
        <f t="shared" si="1"/>
        <v>11</v>
      </c>
      <c r="E9" s="148">
        <f t="shared" si="2"/>
        <v>3</v>
      </c>
      <c r="F9" s="157">
        <v>0</v>
      </c>
      <c r="G9" s="157">
        <v>11</v>
      </c>
      <c r="H9" s="157">
        <v>0</v>
      </c>
      <c r="I9" s="157">
        <v>3</v>
      </c>
      <c r="J9" s="56">
        <f>SUM(F9:I9)</f>
        <v>14</v>
      </c>
      <c r="K9" s="104">
        <f t="shared" si="3"/>
        <v>0</v>
      </c>
      <c r="L9" s="104">
        <f t="shared" si="4"/>
        <v>8.1081081081081086E-2</v>
      </c>
      <c r="M9" s="104">
        <f t="shared" si="5"/>
        <v>8.5959885386819486E-3</v>
      </c>
      <c r="N9" s="104">
        <f t="shared" si="6"/>
        <v>0.05</v>
      </c>
    </row>
    <row r="10" spans="1:17" x14ac:dyDescent="0.45">
      <c r="A10" s="34">
        <f t="shared" si="7"/>
        <v>4</v>
      </c>
      <c r="B10" s="59" t="s">
        <v>20</v>
      </c>
      <c r="C10" s="148">
        <f t="shared" si="0"/>
        <v>30</v>
      </c>
      <c r="D10" s="148">
        <f t="shared" si="1"/>
        <v>17</v>
      </c>
      <c r="E10" s="148">
        <f t="shared" si="2"/>
        <v>13</v>
      </c>
      <c r="F10" s="157">
        <v>0</v>
      </c>
      <c r="G10" s="157">
        <v>17</v>
      </c>
      <c r="H10" s="157">
        <v>0</v>
      </c>
      <c r="I10" s="157">
        <v>13</v>
      </c>
      <c r="J10" s="56">
        <f>SUM(F10:I10)</f>
        <v>30</v>
      </c>
      <c r="K10" s="104">
        <f t="shared" si="3"/>
        <v>0</v>
      </c>
      <c r="L10" s="104">
        <f t="shared" si="4"/>
        <v>0.35135135135135137</v>
      </c>
      <c r="M10" s="104">
        <f t="shared" si="5"/>
        <v>3.7249283667621778E-2</v>
      </c>
      <c r="N10" s="104">
        <f t="shared" si="6"/>
        <v>0.21666666666666667</v>
      </c>
    </row>
    <row r="11" spans="1:17" x14ac:dyDescent="0.45">
      <c r="A11" s="34">
        <f t="shared" si="7"/>
        <v>5</v>
      </c>
      <c r="B11" s="59" t="s">
        <v>170</v>
      </c>
      <c r="C11" s="148">
        <f t="shared" si="0"/>
        <v>24</v>
      </c>
      <c r="D11" s="148">
        <f t="shared" si="1"/>
        <v>24</v>
      </c>
      <c r="E11" s="148">
        <f t="shared" si="2"/>
        <v>0</v>
      </c>
      <c r="F11" s="157">
        <v>20</v>
      </c>
      <c r="G11" s="157">
        <v>4</v>
      </c>
      <c r="H11" s="157">
        <v>0</v>
      </c>
      <c r="I11" s="157">
        <v>0</v>
      </c>
      <c r="J11" s="56">
        <f t="shared" ref="J11:J23" si="8">SUM(F11:I11)</f>
        <v>24</v>
      </c>
      <c r="K11" s="104">
        <f t="shared" si="3"/>
        <v>0</v>
      </c>
      <c r="L11" s="104">
        <f t="shared" si="4"/>
        <v>0</v>
      </c>
      <c r="M11" s="104">
        <f t="shared" si="5"/>
        <v>0</v>
      </c>
      <c r="N11" s="104">
        <f t="shared" si="6"/>
        <v>0</v>
      </c>
    </row>
    <row r="12" spans="1:17" x14ac:dyDescent="0.45">
      <c r="A12" s="34">
        <f t="shared" si="7"/>
        <v>6</v>
      </c>
      <c r="B12" s="59" t="s">
        <v>19</v>
      </c>
      <c r="C12" s="148">
        <f t="shared" si="0"/>
        <v>11</v>
      </c>
      <c r="D12" s="148">
        <f t="shared" si="1"/>
        <v>6</v>
      </c>
      <c r="E12" s="148">
        <f t="shared" si="2"/>
        <v>5</v>
      </c>
      <c r="F12" s="157">
        <v>4</v>
      </c>
      <c r="G12" s="157">
        <v>2</v>
      </c>
      <c r="H12" s="157">
        <v>5</v>
      </c>
      <c r="I12" s="157">
        <v>0</v>
      </c>
      <c r="J12" s="56">
        <f t="shared" si="8"/>
        <v>11</v>
      </c>
      <c r="K12" s="104">
        <f t="shared" si="3"/>
        <v>0.21739130434782608</v>
      </c>
      <c r="L12" s="104">
        <f t="shared" si="4"/>
        <v>0</v>
      </c>
      <c r="M12" s="104">
        <f t="shared" si="5"/>
        <v>1.4326647564469915E-2</v>
      </c>
      <c r="N12" s="104">
        <f t="shared" si="6"/>
        <v>8.3333333333333329E-2</v>
      </c>
    </row>
    <row r="13" spans="1:17" x14ac:dyDescent="0.45">
      <c r="A13" s="34">
        <f t="shared" si="7"/>
        <v>7</v>
      </c>
      <c r="B13" s="59" t="s">
        <v>235</v>
      </c>
      <c r="C13" s="148">
        <f t="shared" si="0"/>
        <v>18</v>
      </c>
      <c r="D13" s="148">
        <f t="shared" si="1"/>
        <v>18</v>
      </c>
      <c r="E13" s="148">
        <f t="shared" si="2"/>
        <v>0</v>
      </c>
      <c r="F13" s="157">
        <v>18</v>
      </c>
      <c r="G13" s="157">
        <v>0</v>
      </c>
      <c r="H13" s="157">
        <v>0</v>
      </c>
      <c r="I13" s="157">
        <v>0</v>
      </c>
      <c r="J13" s="56">
        <f t="shared" si="8"/>
        <v>18</v>
      </c>
      <c r="K13" s="104">
        <f t="shared" si="3"/>
        <v>0</v>
      </c>
      <c r="L13" s="104">
        <f t="shared" si="4"/>
        <v>0</v>
      </c>
      <c r="M13" s="104">
        <f t="shared" si="5"/>
        <v>0</v>
      </c>
      <c r="N13" s="104">
        <f t="shared" si="6"/>
        <v>0</v>
      </c>
    </row>
    <row r="14" spans="1:17" x14ac:dyDescent="0.45">
      <c r="A14" s="34">
        <f t="shared" si="7"/>
        <v>8</v>
      </c>
      <c r="B14" s="59" t="s">
        <v>517</v>
      </c>
      <c r="C14" s="148">
        <f t="shared" si="0"/>
        <v>33</v>
      </c>
      <c r="D14" s="148">
        <f t="shared" si="1"/>
        <v>33</v>
      </c>
      <c r="E14" s="148">
        <f t="shared" si="2"/>
        <v>0</v>
      </c>
      <c r="F14" s="157">
        <v>21</v>
      </c>
      <c r="G14" s="157">
        <v>12</v>
      </c>
      <c r="H14" s="157">
        <v>0</v>
      </c>
      <c r="I14" s="157">
        <v>0</v>
      </c>
      <c r="J14" s="56">
        <f t="shared" si="8"/>
        <v>33</v>
      </c>
      <c r="K14" s="104">
        <f t="shared" si="3"/>
        <v>0</v>
      </c>
      <c r="L14" s="104">
        <f t="shared" si="4"/>
        <v>0</v>
      </c>
      <c r="M14" s="104">
        <f t="shared" si="5"/>
        <v>0</v>
      </c>
      <c r="N14" s="104">
        <f t="shared" si="6"/>
        <v>0</v>
      </c>
    </row>
    <row r="15" spans="1:17" x14ac:dyDescent="0.45">
      <c r="A15" s="34">
        <f t="shared" si="7"/>
        <v>9</v>
      </c>
      <c r="B15" s="59" t="s">
        <v>522</v>
      </c>
      <c r="C15" s="148">
        <f t="shared" si="0"/>
        <v>39</v>
      </c>
      <c r="D15" s="148">
        <f t="shared" si="1"/>
        <v>39</v>
      </c>
      <c r="E15" s="148">
        <f t="shared" si="2"/>
        <v>0</v>
      </c>
      <c r="F15" s="158">
        <v>29</v>
      </c>
      <c r="G15" s="158">
        <v>10</v>
      </c>
      <c r="H15" s="157">
        <v>0</v>
      </c>
      <c r="I15" s="157">
        <v>0</v>
      </c>
      <c r="J15" s="94">
        <f>SUM(F15:I15)</f>
        <v>39</v>
      </c>
      <c r="K15" s="104">
        <f t="shared" si="3"/>
        <v>0</v>
      </c>
      <c r="L15" s="104">
        <f t="shared" si="4"/>
        <v>0</v>
      </c>
      <c r="M15" s="104">
        <f t="shared" si="5"/>
        <v>0</v>
      </c>
      <c r="N15" s="104">
        <f t="shared" si="6"/>
        <v>0</v>
      </c>
    </row>
    <row r="16" spans="1:17" x14ac:dyDescent="0.45">
      <c r="A16" s="34">
        <f t="shared" si="7"/>
        <v>10</v>
      </c>
      <c r="B16" s="59" t="s">
        <v>518</v>
      </c>
      <c r="C16" s="148">
        <f t="shared" si="0"/>
        <v>8</v>
      </c>
      <c r="D16" s="148">
        <f t="shared" si="1"/>
        <v>8</v>
      </c>
      <c r="E16" s="148">
        <f t="shared" si="2"/>
        <v>0</v>
      </c>
      <c r="F16" s="157">
        <v>8</v>
      </c>
      <c r="G16" s="157">
        <v>0</v>
      </c>
      <c r="H16" s="157">
        <v>0</v>
      </c>
      <c r="I16" s="157">
        <v>0</v>
      </c>
      <c r="J16" s="56">
        <f t="shared" si="8"/>
        <v>8</v>
      </c>
      <c r="K16" s="104">
        <f t="shared" si="3"/>
        <v>0</v>
      </c>
      <c r="L16" s="104">
        <f t="shared" si="4"/>
        <v>0</v>
      </c>
      <c r="M16" s="104">
        <f t="shared" si="5"/>
        <v>0</v>
      </c>
      <c r="N16" s="104">
        <f t="shared" si="6"/>
        <v>0</v>
      </c>
    </row>
    <row r="17" spans="1:15" x14ac:dyDescent="0.45">
      <c r="A17" s="34">
        <f t="shared" si="7"/>
        <v>11</v>
      </c>
      <c r="B17" s="59" t="s">
        <v>519</v>
      </c>
      <c r="C17" s="148">
        <f t="shared" si="0"/>
        <v>16</v>
      </c>
      <c r="D17" s="148">
        <f t="shared" si="1"/>
        <v>16</v>
      </c>
      <c r="E17" s="148">
        <f t="shared" si="2"/>
        <v>0</v>
      </c>
      <c r="F17" s="157">
        <v>16</v>
      </c>
      <c r="G17" s="157">
        <v>0</v>
      </c>
      <c r="H17" s="157">
        <v>0</v>
      </c>
      <c r="I17" s="157">
        <v>0</v>
      </c>
      <c r="J17" s="56">
        <f t="shared" si="8"/>
        <v>16</v>
      </c>
      <c r="K17" s="104">
        <f t="shared" si="3"/>
        <v>0</v>
      </c>
      <c r="L17" s="104">
        <f t="shared" si="4"/>
        <v>0</v>
      </c>
      <c r="M17" s="104">
        <f t="shared" si="5"/>
        <v>0</v>
      </c>
      <c r="N17" s="104">
        <f t="shared" si="6"/>
        <v>0</v>
      </c>
    </row>
    <row r="18" spans="1:15" x14ac:dyDescent="0.45">
      <c r="A18" s="34">
        <f t="shared" si="7"/>
        <v>12</v>
      </c>
      <c r="B18" s="59" t="s">
        <v>36</v>
      </c>
      <c r="C18" s="148">
        <f t="shared" si="0"/>
        <v>22</v>
      </c>
      <c r="D18" s="148">
        <f t="shared" si="1"/>
        <v>5</v>
      </c>
      <c r="E18" s="148">
        <f t="shared" si="2"/>
        <v>17</v>
      </c>
      <c r="F18" s="157">
        <v>5</v>
      </c>
      <c r="G18" s="157">
        <v>0</v>
      </c>
      <c r="H18" s="157">
        <v>17</v>
      </c>
      <c r="I18" s="157">
        <v>0</v>
      </c>
      <c r="J18" s="56">
        <f t="shared" si="8"/>
        <v>22</v>
      </c>
      <c r="K18" s="104">
        <f t="shared" si="3"/>
        <v>0.73913043478260865</v>
      </c>
      <c r="L18" s="104">
        <f t="shared" si="4"/>
        <v>0</v>
      </c>
      <c r="M18" s="104">
        <f t="shared" si="5"/>
        <v>4.8710601719197708E-2</v>
      </c>
      <c r="N18" s="104">
        <f t="shared" si="6"/>
        <v>0.28333333333333333</v>
      </c>
    </row>
    <row r="19" spans="1:15" x14ac:dyDescent="0.45">
      <c r="A19" s="34">
        <f t="shared" si="7"/>
        <v>13</v>
      </c>
      <c r="B19" s="59" t="s">
        <v>520</v>
      </c>
      <c r="C19" s="148">
        <f t="shared" si="0"/>
        <v>4</v>
      </c>
      <c r="D19" s="148">
        <f t="shared" si="1"/>
        <v>4</v>
      </c>
      <c r="E19" s="148">
        <f t="shared" si="2"/>
        <v>0</v>
      </c>
      <c r="F19" s="157">
        <v>2</v>
      </c>
      <c r="G19" s="157">
        <v>2</v>
      </c>
      <c r="H19" s="157">
        <v>0</v>
      </c>
      <c r="I19" s="157">
        <v>0</v>
      </c>
      <c r="J19" s="56">
        <f t="shared" si="8"/>
        <v>4</v>
      </c>
      <c r="K19" s="104">
        <f t="shared" si="3"/>
        <v>0</v>
      </c>
      <c r="L19" s="104">
        <f t="shared" si="4"/>
        <v>0</v>
      </c>
      <c r="M19" s="104">
        <f t="shared" si="5"/>
        <v>0</v>
      </c>
      <c r="N19" s="104">
        <f t="shared" si="6"/>
        <v>0</v>
      </c>
    </row>
    <row r="20" spans="1:15" x14ac:dyDescent="0.45">
      <c r="A20" s="34">
        <f t="shared" si="7"/>
        <v>14</v>
      </c>
      <c r="B20" s="59" t="s">
        <v>171</v>
      </c>
      <c r="C20" s="148">
        <f t="shared" si="0"/>
        <v>35</v>
      </c>
      <c r="D20" s="148">
        <f t="shared" si="1"/>
        <v>35</v>
      </c>
      <c r="E20" s="148">
        <f t="shared" si="2"/>
        <v>0</v>
      </c>
      <c r="F20" s="157">
        <v>0</v>
      </c>
      <c r="G20" s="157">
        <v>35</v>
      </c>
      <c r="H20" s="157">
        <v>0</v>
      </c>
      <c r="I20" s="157">
        <v>0</v>
      </c>
      <c r="J20" s="56">
        <f>SUM(F20:I20)</f>
        <v>35</v>
      </c>
      <c r="K20" s="104">
        <f t="shared" si="3"/>
        <v>0</v>
      </c>
      <c r="L20" s="104">
        <f t="shared" si="4"/>
        <v>0</v>
      </c>
      <c r="M20" s="104">
        <f t="shared" si="5"/>
        <v>0</v>
      </c>
      <c r="N20" s="104">
        <f t="shared" si="6"/>
        <v>0</v>
      </c>
    </row>
    <row r="21" spans="1:15" x14ac:dyDescent="0.45">
      <c r="A21" s="34">
        <f t="shared" si="7"/>
        <v>15</v>
      </c>
      <c r="B21" s="59" t="s">
        <v>507</v>
      </c>
      <c r="C21" s="148">
        <f t="shared" si="0"/>
        <v>37</v>
      </c>
      <c r="D21" s="148">
        <f t="shared" si="1"/>
        <v>21</v>
      </c>
      <c r="E21" s="148">
        <f t="shared" si="2"/>
        <v>16</v>
      </c>
      <c r="F21" s="157">
        <v>0</v>
      </c>
      <c r="G21" s="157">
        <v>21</v>
      </c>
      <c r="H21" s="157">
        <v>0</v>
      </c>
      <c r="I21" s="157">
        <v>16</v>
      </c>
      <c r="J21" s="56">
        <f>SUM(F21:I21)</f>
        <v>37</v>
      </c>
      <c r="K21" s="104">
        <f t="shared" si="3"/>
        <v>0</v>
      </c>
      <c r="L21" s="104">
        <f t="shared" si="4"/>
        <v>0.43243243243243246</v>
      </c>
      <c r="M21" s="104">
        <f t="shared" si="5"/>
        <v>4.5845272206303724E-2</v>
      </c>
      <c r="N21" s="104">
        <f t="shared" si="6"/>
        <v>0.26666666666666666</v>
      </c>
    </row>
    <row r="22" spans="1:15" x14ac:dyDescent="0.45">
      <c r="A22" s="34">
        <f t="shared" si="7"/>
        <v>16</v>
      </c>
      <c r="B22" s="59" t="s">
        <v>521</v>
      </c>
      <c r="C22" s="148">
        <f t="shared" si="0"/>
        <v>15</v>
      </c>
      <c r="D22" s="148">
        <f t="shared" si="1"/>
        <v>15</v>
      </c>
      <c r="E22" s="148">
        <f t="shared" si="2"/>
        <v>0</v>
      </c>
      <c r="F22" s="157">
        <v>15</v>
      </c>
      <c r="G22" s="157">
        <v>0</v>
      </c>
      <c r="H22" s="157">
        <v>0</v>
      </c>
      <c r="I22" s="157">
        <v>0</v>
      </c>
      <c r="J22" s="56">
        <f t="shared" si="8"/>
        <v>15</v>
      </c>
      <c r="K22" s="104">
        <f t="shared" si="3"/>
        <v>0</v>
      </c>
      <c r="L22" s="104">
        <f t="shared" si="4"/>
        <v>0</v>
      </c>
      <c r="M22" s="104">
        <f t="shared" si="5"/>
        <v>0</v>
      </c>
      <c r="N22" s="104">
        <f t="shared" si="6"/>
        <v>0</v>
      </c>
    </row>
    <row r="23" spans="1:15" x14ac:dyDescent="0.45">
      <c r="A23" s="34">
        <f>+A22+1</f>
        <v>17</v>
      </c>
      <c r="B23" s="59" t="s">
        <v>753</v>
      </c>
      <c r="C23" s="58">
        <f t="shared" si="0"/>
        <v>0</v>
      </c>
      <c r="D23" s="58">
        <f t="shared" si="1"/>
        <v>0</v>
      </c>
      <c r="E23" s="58">
        <f t="shared" si="2"/>
        <v>0</v>
      </c>
      <c r="F23" s="159"/>
      <c r="G23" s="159"/>
      <c r="H23" s="159"/>
      <c r="I23" s="159"/>
      <c r="J23" s="58">
        <f t="shared" si="8"/>
        <v>0</v>
      </c>
      <c r="K23" s="105">
        <f t="shared" si="3"/>
        <v>0</v>
      </c>
      <c r="L23" s="105">
        <f t="shared" si="4"/>
        <v>0</v>
      </c>
      <c r="M23" s="105">
        <f t="shared" si="5"/>
        <v>0</v>
      </c>
      <c r="N23" s="105">
        <f t="shared" si="6"/>
        <v>0</v>
      </c>
    </row>
    <row r="24" spans="1:15" x14ac:dyDescent="0.45">
      <c r="A24" s="34">
        <f t="shared" ref="A24:A34" si="9">+A23+1</f>
        <v>18</v>
      </c>
      <c r="B24" s="59" t="s">
        <v>0</v>
      </c>
      <c r="C24" s="56">
        <f t="shared" ref="C24:N24" si="10">SUM(C7:C23)</f>
        <v>349</v>
      </c>
      <c r="D24" s="56">
        <f t="shared" si="10"/>
        <v>289</v>
      </c>
      <c r="E24" s="56">
        <f t="shared" si="10"/>
        <v>60</v>
      </c>
      <c r="F24" s="56">
        <f t="shared" si="10"/>
        <v>151</v>
      </c>
      <c r="G24" s="56">
        <f t="shared" si="10"/>
        <v>138</v>
      </c>
      <c r="H24" s="56">
        <f t="shared" si="10"/>
        <v>23</v>
      </c>
      <c r="I24" s="56">
        <f t="shared" si="10"/>
        <v>37</v>
      </c>
      <c r="J24" s="56">
        <f t="shared" si="10"/>
        <v>349</v>
      </c>
      <c r="K24" s="104">
        <f t="shared" si="10"/>
        <v>1</v>
      </c>
      <c r="L24" s="104">
        <f t="shared" si="10"/>
        <v>1</v>
      </c>
      <c r="M24" s="104">
        <f t="shared" si="10"/>
        <v>0.17191977077363896</v>
      </c>
      <c r="N24" s="104">
        <f t="shared" si="10"/>
        <v>1</v>
      </c>
    </row>
    <row r="25" spans="1:15" x14ac:dyDescent="0.45">
      <c r="A25" s="34">
        <f t="shared" si="9"/>
        <v>19</v>
      </c>
      <c r="B25" s="59"/>
      <c r="C25" s="56"/>
      <c r="D25" s="104">
        <f>IFERROR(D24/$C$24,0)</f>
        <v>0.82808022922636104</v>
      </c>
      <c r="E25" s="104">
        <f t="shared" ref="E25:G25" si="11">IFERROR(E24/$C$24,0)</f>
        <v>0.17191977077363896</v>
      </c>
      <c r="F25" s="104">
        <f t="shared" si="11"/>
        <v>0.43266475644699143</v>
      </c>
      <c r="G25" s="104">
        <f t="shared" si="11"/>
        <v>0.39541547277936961</v>
      </c>
      <c r="H25" s="104">
        <f>IFERROR(H24/$E$24,0)</f>
        <v>0.38333333333333336</v>
      </c>
      <c r="I25" s="104">
        <f>IFERROR(I24/$E$24,0)</f>
        <v>0.6166666666666667</v>
      </c>
      <c r="J25" s="56"/>
      <c r="K25" s="104"/>
      <c r="L25" s="104"/>
      <c r="M25" s="104"/>
      <c r="N25" s="104"/>
    </row>
    <row r="26" spans="1:15" x14ac:dyDescent="0.45">
      <c r="A26" s="34">
        <f t="shared" si="9"/>
        <v>20</v>
      </c>
      <c r="B26" s="59"/>
      <c r="C26" s="104"/>
      <c r="D26" s="104"/>
      <c r="E26" s="104"/>
      <c r="F26" s="104"/>
      <c r="G26" s="104"/>
      <c r="H26" s="104"/>
      <c r="I26" s="56"/>
      <c r="J26" s="56"/>
      <c r="K26" s="104"/>
      <c r="L26" s="104"/>
      <c r="M26" s="104"/>
      <c r="N26" s="104"/>
    </row>
    <row r="27" spans="1:15" x14ac:dyDescent="0.45">
      <c r="A27" s="34">
        <f t="shared" si="9"/>
        <v>21</v>
      </c>
      <c r="B27" s="59"/>
      <c r="C27" s="173" t="s">
        <v>528</v>
      </c>
      <c r="D27" s="173"/>
      <c r="E27" s="173" t="s">
        <v>22</v>
      </c>
      <c r="F27" s="173"/>
      <c r="G27" s="173" t="s">
        <v>19</v>
      </c>
      <c r="H27" s="173"/>
      <c r="I27" s="173" t="s">
        <v>36</v>
      </c>
      <c r="J27" s="173"/>
      <c r="K27" s="173" t="s">
        <v>753</v>
      </c>
      <c r="L27" s="173"/>
      <c r="M27" s="173" t="s">
        <v>0</v>
      </c>
      <c r="N27" s="173"/>
      <c r="O27" s="89"/>
    </row>
    <row r="28" spans="1:15" x14ac:dyDescent="0.45">
      <c r="A28" s="34">
        <f t="shared" si="9"/>
        <v>22</v>
      </c>
      <c r="B28" s="59"/>
      <c r="C28" s="178" t="s">
        <v>542</v>
      </c>
      <c r="D28" s="178"/>
      <c r="E28" s="178" t="s">
        <v>542</v>
      </c>
      <c r="F28" s="178"/>
      <c r="G28" s="178" t="s">
        <v>542</v>
      </c>
      <c r="H28" s="178"/>
      <c r="I28" s="178" t="s">
        <v>542</v>
      </c>
      <c r="J28" s="178"/>
      <c r="K28" s="178" t="s">
        <v>542</v>
      </c>
      <c r="L28" s="178"/>
      <c r="M28" s="178" t="s">
        <v>529</v>
      </c>
      <c r="N28" s="178"/>
      <c r="O28" s="106"/>
    </row>
    <row r="29" spans="1:15" x14ac:dyDescent="0.45">
      <c r="A29" s="34">
        <f t="shared" si="9"/>
        <v>23</v>
      </c>
      <c r="B29" s="59"/>
      <c r="C29" s="102" t="s">
        <v>26</v>
      </c>
      <c r="D29" s="102" t="s">
        <v>34</v>
      </c>
      <c r="E29" s="102" t="s">
        <v>26</v>
      </c>
      <c r="F29" s="102" t="s">
        <v>34</v>
      </c>
      <c r="G29" s="102" t="s">
        <v>26</v>
      </c>
      <c r="H29" s="102" t="s">
        <v>34</v>
      </c>
      <c r="I29" s="102" t="s">
        <v>26</v>
      </c>
      <c r="J29" s="102" t="s">
        <v>34</v>
      </c>
      <c r="K29" s="102" t="s">
        <v>26</v>
      </c>
      <c r="L29" s="102" t="s">
        <v>34</v>
      </c>
      <c r="M29" s="91" t="s">
        <v>26</v>
      </c>
      <c r="N29" s="91" t="s">
        <v>34</v>
      </c>
      <c r="O29" s="91" t="s">
        <v>0</v>
      </c>
    </row>
    <row r="30" spans="1:15" x14ac:dyDescent="0.45">
      <c r="A30" s="34">
        <f t="shared" si="9"/>
        <v>24</v>
      </c>
      <c r="B30" s="59"/>
      <c r="C30" s="39" t="s">
        <v>109</v>
      </c>
      <c r="D30" s="39" t="s">
        <v>109</v>
      </c>
      <c r="E30" s="39" t="s">
        <v>109</v>
      </c>
      <c r="F30" s="39" t="s">
        <v>109</v>
      </c>
      <c r="G30" s="39" t="s">
        <v>109</v>
      </c>
      <c r="H30" s="39" t="s">
        <v>109</v>
      </c>
      <c r="I30" s="39" t="s">
        <v>109</v>
      </c>
      <c r="J30" s="39" t="s">
        <v>109</v>
      </c>
      <c r="K30" s="39" t="s">
        <v>109</v>
      </c>
      <c r="L30" s="39" t="s">
        <v>109</v>
      </c>
      <c r="M30" s="92" t="s">
        <v>25</v>
      </c>
      <c r="N30" s="92" t="s">
        <v>25</v>
      </c>
      <c r="O30" s="92" t="s">
        <v>25</v>
      </c>
    </row>
    <row r="31" spans="1:15" x14ac:dyDescent="0.45">
      <c r="A31" s="34">
        <f t="shared" si="9"/>
        <v>25</v>
      </c>
      <c r="B31" s="59" t="s">
        <v>172</v>
      </c>
      <c r="C31" s="56">
        <f>+F24+H24-E31-G31-I31-K31</f>
        <v>151</v>
      </c>
      <c r="D31" s="56">
        <f>+G24+I24-F31-H31-J31-L31</f>
        <v>170</v>
      </c>
      <c r="E31" s="56">
        <f>+H8</f>
        <v>1</v>
      </c>
      <c r="F31" s="56">
        <f>+I8</f>
        <v>5</v>
      </c>
      <c r="G31" s="56">
        <f>+H12</f>
        <v>5</v>
      </c>
      <c r="H31" s="56">
        <f>+I12</f>
        <v>0</v>
      </c>
      <c r="I31" s="56">
        <f>+H18</f>
        <v>17</v>
      </c>
      <c r="J31" s="56">
        <f>+I18</f>
        <v>0</v>
      </c>
      <c r="K31" s="56">
        <f>+H23</f>
        <v>0</v>
      </c>
      <c r="L31" s="56">
        <f>+I23</f>
        <v>0</v>
      </c>
      <c r="M31" s="56">
        <f>+K31+I31+G31+E31+C31</f>
        <v>174</v>
      </c>
      <c r="N31" s="56">
        <f>+L31+J31+H31+F31+D31</f>
        <v>175</v>
      </c>
      <c r="O31" s="56">
        <f>+N31+M31</f>
        <v>349</v>
      </c>
    </row>
    <row r="32" spans="1:15" x14ac:dyDescent="0.45">
      <c r="A32" s="34">
        <f t="shared" si="9"/>
        <v>26</v>
      </c>
      <c r="B32" s="59" t="s">
        <v>530</v>
      </c>
      <c r="C32" s="104">
        <f>IFERROR(C31/$O$31,0)</f>
        <v>0.43266475644699143</v>
      </c>
      <c r="D32" s="104">
        <f t="shared" ref="D32:O32" si="12">IFERROR(D31/$O$31,0)</f>
        <v>0.4871060171919771</v>
      </c>
      <c r="E32" s="104">
        <f t="shared" si="12"/>
        <v>2.8653295128939827E-3</v>
      </c>
      <c r="F32" s="104">
        <f t="shared" si="12"/>
        <v>1.4326647564469915E-2</v>
      </c>
      <c r="G32" s="104">
        <f t="shared" si="12"/>
        <v>1.4326647564469915E-2</v>
      </c>
      <c r="H32" s="104">
        <f t="shared" si="12"/>
        <v>0</v>
      </c>
      <c r="I32" s="104">
        <f t="shared" si="12"/>
        <v>4.8710601719197708E-2</v>
      </c>
      <c r="J32" s="104">
        <f t="shared" si="12"/>
        <v>0</v>
      </c>
      <c r="K32" s="104">
        <f t="shared" si="12"/>
        <v>0</v>
      </c>
      <c r="L32" s="104">
        <f t="shared" si="12"/>
        <v>0</v>
      </c>
      <c r="M32" s="104">
        <f t="shared" si="12"/>
        <v>0.49856733524355301</v>
      </c>
      <c r="N32" s="104">
        <f t="shared" si="12"/>
        <v>0.50143266475644699</v>
      </c>
      <c r="O32" s="104">
        <f t="shared" si="12"/>
        <v>1</v>
      </c>
    </row>
    <row r="33" spans="1:12" x14ac:dyDescent="0.45">
      <c r="A33" s="34">
        <f t="shared" si="9"/>
        <v>27</v>
      </c>
      <c r="B33" s="59"/>
      <c r="C33" s="104"/>
      <c r="D33" s="104"/>
      <c r="E33" s="104"/>
      <c r="F33" s="104"/>
      <c r="G33" s="104"/>
      <c r="H33" s="104"/>
      <c r="I33" s="56"/>
      <c r="J33" s="56"/>
      <c r="K33" s="104"/>
      <c r="L33" s="104"/>
    </row>
    <row r="34" spans="1:12" x14ac:dyDescent="0.45">
      <c r="A34" s="34">
        <f t="shared" si="9"/>
        <v>28</v>
      </c>
      <c r="B34" s="59" t="s">
        <v>531</v>
      </c>
      <c r="C34" s="104">
        <f>IFERROR(+C31/($C$31+$D$31),0)</f>
        <v>0.47040498442367601</v>
      </c>
      <c r="D34" s="104">
        <f>IFERROR(+D31/($C$31+$D$31),0)</f>
        <v>0.52959501557632394</v>
      </c>
      <c r="E34" s="104">
        <f>IFERROR(+E31/($E$31+$F$31),0)</f>
        <v>0.16666666666666666</v>
      </c>
      <c r="F34" s="104">
        <f>IFERROR(+F31/($E$31+$F$31),0)</f>
        <v>0.83333333333333337</v>
      </c>
      <c r="G34" s="104">
        <f>IFERROR(+G31/($G$31+$H$31),0)</f>
        <v>1</v>
      </c>
      <c r="H34" s="104">
        <f>IFERROR(+H31/($G$31+$H$31),0)</f>
        <v>0</v>
      </c>
      <c r="I34" s="104">
        <f>IFERROR(+I31/($I$31+$J$31),0)</f>
        <v>1</v>
      </c>
      <c r="J34" s="104">
        <f>IFERROR(+J31/($I$31+$J$31),0)</f>
        <v>0</v>
      </c>
      <c r="K34" s="104">
        <f>+IFERROR(K31/($K$31+$L$31),0)</f>
        <v>0</v>
      </c>
      <c r="L34" s="104">
        <f>+IFERROR(L31/($K$31+$L$31),0)</f>
        <v>0</v>
      </c>
    </row>
    <row r="35" spans="1:12" x14ac:dyDescent="0.45">
      <c r="A35" s="57" t="s">
        <v>241</v>
      </c>
    </row>
    <row r="39" spans="1:12" x14ac:dyDescent="0.45">
      <c r="G39" s="59"/>
    </row>
    <row r="40" spans="1:12" x14ac:dyDescent="0.45">
      <c r="G40" s="59"/>
    </row>
    <row r="41" spans="1:12" x14ac:dyDescent="0.45">
      <c r="G41" s="59"/>
    </row>
    <row r="42" spans="1:12" x14ac:dyDescent="0.45">
      <c r="G42" s="59"/>
    </row>
    <row r="43" spans="1:12" x14ac:dyDescent="0.45">
      <c r="G43" s="59"/>
    </row>
    <row r="44" spans="1:12" x14ac:dyDescent="0.45">
      <c r="G44" s="59"/>
    </row>
    <row r="45" spans="1:12" x14ac:dyDescent="0.45">
      <c r="G45" s="59"/>
    </row>
    <row r="46" spans="1:12" x14ac:dyDescent="0.45">
      <c r="G46" s="59"/>
    </row>
    <row r="47" spans="1:12" x14ac:dyDescent="0.45">
      <c r="G47" s="59"/>
    </row>
    <row r="48" spans="1:12" x14ac:dyDescent="0.45">
      <c r="G48" s="59"/>
    </row>
    <row r="49" spans="7:7" x14ac:dyDescent="0.45">
      <c r="G49" s="59"/>
    </row>
    <row r="50" spans="7:7" x14ac:dyDescent="0.45">
      <c r="G50" s="59"/>
    </row>
    <row r="51" spans="7:7" x14ac:dyDescent="0.45">
      <c r="G51" s="59"/>
    </row>
    <row r="52" spans="7:7" x14ac:dyDescent="0.45">
      <c r="G52" s="59"/>
    </row>
    <row r="53" spans="7:7" x14ac:dyDescent="0.45">
      <c r="G53" s="59"/>
    </row>
    <row r="54" spans="7:7" x14ac:dyDescent="0.45">
      <c r="G54" s="59"/>
    </row>
  </sheetData>
  <sortState xmlns:xlrd2="http://schemas.microsoft.com/office/spreadsheetml/2017/richdata2" ref="F38:F53">
    <sortCondition ref="F38"/>
  </sortState>
  <mergeCells count="12">
    <mergeCell ref="K27:L27"/>
    <mergeCell ref="K28:L28"/>
    <mergeCell ref="M27:N27"/>
    <mergeCell ref="M28:N28"/>
    <mergeCell ref="C28:D28"/>
    <mergeCell ref="C27:D27"/>
    <mergeCell ref="E27:F27"/>
    <mergeCell ref="E28:F28"/>
    <mergeCell ref="G27:H27"/>
    <mergeCell ref="G28:H28"/>
    <mergeCell ref="I27:J27"/>
    <mergeCell ref="I28:J28"/>
  </mergeCells>
  <printOptions horizontalCentered="1"/>
  <pageMargins left="0.5" right="0.5" top="1" bottom="1" header="0.5" footer="0.5"/>
  <pageSetup scale="73" orientation="landscape" r:id="rId1"/>
  <headerFooter>
    <oddHeader>&amp;RSchedule H-1.0</oddHeader>
  </headerFooter>
  <ignoredErrors>
    <ignoredError sqref="J7:J2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Cover</vt:lpstr>
      <vt:lpstr>Summary</vt:lpstr>
      <vt:lpstr>Plant</vt:lpstr>
      <vt:lpstr>Expenses</vt:lpstr>
      <vt:lpstr>AF</vt:lpstr>
      <vt:lpstr>Usage</vt:lpstr>
      <vt:lpstr>Debt</vt:lpstr>
      <vt:lpstr>Sub WP</vt:lpstr>
      <vt:lpstr>Delivery Pts</vt:lpstr>
      <vt:lpstr>Depreciation</vt:lpstr>
      <vt:lpstr>Usage WP</vt:lpstr>
      <vt:lpstr>Changes</vt:lpstr>
      <vt:lpstr>Regulatory Asset WP </vt:lpstr>
      <vt:lpstr>AF!Print_Area</vt:lpstr>
      <vt:lpstr>Changes!Print_Area</vt:lpstr>
      <vt:lpstr>Debt!Print_Area</vt:lpstr>
      <vt:lpstr>'Delivery Pts'!Print_Area</vt:lpstr>
      <vt:lpstr>Depreciation!Print_Area</vt:lpstr>
      <vt:lpstr>Expenses!Print_Area</vt:lpstr>
      <vt:lpstr>Plant!Print_Area</vt:lpstr>
      <vt:lpstr>'Sub WP'!Print_Area</vt:lpstr>
      <vt:lpstr>Summary!Print_Area</vt:lpstr>
      <vt:lpstr>Usage!Print_Area</vt:lpstr>
      <vt:lpstr>'Usage WP'!Print_Area</vt:lpstr>
      <vt:lpstr>AF!Print_Titles</vt:lpstr>
      <vt:lpstr>Changes!Print_Titles</vt:lpstr>
      <vt:lpstr>Expenses!Print_Titles</vt:lpstr>
      <vt:lpstr>Plant!Print_Titles</vt:lpstr>
      <vt:lpstr>Usage!Print_Titles</vt:lpstr>
      <vt:lpstr>'Usage WP'!Print_Titles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Winter</dc:creator>
  <cp:lastModifiedBy>Craig Silverstein</cp:lastModifiedBy>
  <cp:lastPrinted>2018-05-31T15:16:45Z</cp:lastPrinted>
  <dcterms:created xsi:type="dcterms:W3CDTF">2011-05-27T16:38:22Z</dcterms:created>
  <dcterms:modified xsi:type="dcterms:W3CDTF">2019-05-30T21:06:42Z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